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резерв мощности" sheetId="1" r:id="rId1"/>
  </sheets>
  <externalReferences>
    <externalReference r:id="rId4"/>
    <externalReference r:id="rId5"/>
  </externalReferences>
  <definedNames>
    <definedName name="SCOPE_TYPES">'[1]TEHSHEET'!$C$4:$C$10</definedName>
    <definedName name="_xlnm.Print_Area" localSheetId="0">'резерв мощности'!$A$1:$I$185</definedName>
  </definedNames>
  <calcPr fullCalcOnLoad="1"/>
</workbook>
</file>

<file path=xl/sharedStrings.xml><?xml version="1.0" encoding="utf-8"?>
<sst xmlns="http://schemas.openxmlformats.org/spreadsheetml/2006/main" count="318" uniqueCount="192">
  <si>
    <t>№ п/п</t>
  </si>
  <si>
    <t>Наименование котельной</t>
  </si>
  <si>
    <t>Адрес</t>
  </si>
  <si>
    <t>Марка установленных котлов</t>
  </si>
  <si>
    <t>Паспортные данные с учетом наладки</t>
  </si>
  <si>
    <t>Установленная тепловая мощность котельной , Гкал/час</t>
  </si>
  <si>
    <t>Подключенная тепловая нагрузка  потребителей, Гкал/час</t>
  </si>
  <si>
    <t>Установленная тепловая мощность котла, Гкал/час</t>
  </si>
  <si>
    <t>Школа №11</t>
  </si>
  <si>
    <t>г. Бор, ул. Лермонтова, д. 2 г</t>
  </si>
  <si>
    <t>Универсал-6</t>
  </si>
  <si>
    <t>Школа №22</t>
  </si>
  <si>
    <t>г. Бор, ул. Суворова, д. 13 б</t>
  </si>
  <si>
    <t>Универсал-5</t>
  </si>
  <si>
    <t>Дом пионеров</t>
  </si>
  <si>
    <t>г. Бор, ул. Ленина, д. 72</t>
  </si>
  <si>
    <t>ЦРБ</t>
  </si>
  <si>
    <t>г. Бор, ул. Бабушкина, д. 8 б</t>
  </si>
  <si>
    <t>КВГ</t>
  </si>
  <si>
    <t>Энергия-3</t>
  </si>
  <si>
    <t>Е1-9Г</t>
  </si>
  <si>
    <t>КВГМ1</t>
  </si>
  <si>
    <t>Гараж</t>
  </si>
  <si>
    <t>г. Бор, ул. Полевая, д. 19 г</t>
  </si>
  <si>
    <t>Стреля</t>
  </si>
  <si>
    <t>Геологи</t>
  </si>
  <si>
    <t>г. Бор, ул. Вокзальная, д. 88 а</t>
  </si>
  <si>
    <t>Профилакторий</t>
  </si>
  <si>
    <t>г. Бор, ул. Задолье, д. 5 а</t>
  </si>
  <si>
    <t>Овечкино</t>
  </si>
  <si>
    <t>Борский район, д. Овечкино,2а,  Редькинский с/с</t>
  </si>
  <si>
    <t>Толоконцево</t>
  </si>
  <si>
    <t>г. Бор, п. Неклюдово, ул. Новая, 6 б</t>
  </si>
  <si>
    <t>Ква-1,0ээ</t>
  </si>
  <si>
    <t>Ква-0,5ээ</t>
  </si>
  <si>
    <t>Горького</t>
  </si>
  <si>
    <t>г. Бор, ул. Буденного, д. 39</t>
  </si>
  <si>
    <t>HWK-1600</t>
  </si>
  <si>
    <t>HWK-800</t>
  </si>
  <si>
    <t>Ванеева</t>
  </si>
  <si>
    <t>г. Бор, ул. Ванеева, д. 43 в</t>
  </si>
  <si>
    <t>SKN-115</t>
  </si>
  <si>
    <t>Гастелло</t>
  </si>
  <si>
    <t>г. Бор, ул. Спортивная, д. 5 б</t>
  </si>
  <si>
    <t>BWK-200</t>
  </si>
  <si>
    <t>BWK-300</t>
  </si>
  <si>
    <t>Водозабор</t>
  </si>
  <si>
    <t>Борский район, водозабор "Ивановский кордон", уч.24</t>
  </si>
  <si>
    <t>КСВа-1,25гн</t>
  </si>
  <si>
    <t>ДОУ-25</t>
  </si>
  <si>
    <t>г.Бор ул.Горького,70</t>
  </si>
  <si>
    <t>Хопер-100</t>
  </si>
  <si>
    <t>Крышная</t>
  </si>
  <si>
    <t>г. Бор, Стеклозаводское шоссе, 1</t>
  </si>
  <si>
    <t>Общежитие Горького 25</t>
  </si>
  <si>
    <t>г. Бор, ул. М. Горького,25</t>
  </si>
  <si>
    <t>Ква-45 Гс</t>
  </si>
  <si>
    <t>Строителей</t>
  </si>
  <si>
    <t>г. Бор, ул. Строительная,7-а</t>
  </si>
  <si>
    <t>КСВа-0,32гн</t>
  </si>
  <si>
    <t>Баня Ситники</t>
  </si>
  <si>
    <t>Борский район, п. Ситники, ул. Центральная, 32 б</t>
  </si>
  <si>
    <t>Ква-0,16/0,32</t>
  </si>
  <si>
    <t>Больница Ситники</t>
  </si>
  <si>
    <t>Борский район, п. Ситники, ул. Центральная, 1 е</t>
  </si>
  <si>
    <t>Администрация Ситники</t>
  </si>
  <si>
    <t>Борский район, п. Ситники, ул. Центральная, 21 в</t>
  </si>
  <si>
    <t>д.Оманово</t>
  </si>
  <si>
    <t>Бор. р-он, Ивоньковский с/с, д. Оманово,157</t>
  </si>
  <si>
    <t>G215 WS</t>
  </si>
  <si>
    <t>п.Керженец</t>
  </si>
  <si>
    <t>Борский район, пос. Керженец, ул.Лесозаводская,6 а, Краснослободской с/с.</t>
  </si>
  <si>
    <t>Тула-3</t>
  </si>
  <si>
    <t>п.Пионерский</t>
  </si>
  <si>
    <t>Бор. Р-он, п. Пионерский,ул.Ленина,7 а,  Краснослободской с/с</t>
  </si>
  <si>
    <t>Универсал</t>
  </si>
  <si>
    <t>ул.Воровского-9а</t>
  </si>
  <si>
    <t>г. Бор, ул. Воровского, д. 9 а</t>
  </si>
  <si>
    <t>КВа-0,32гн</t>
  </si>
  <si>
    <t>п.Городищи</t>
  </si>
  <si>
    <t>Борский район, с. Городищи,145, Краснослободской с/с</t>
  </si>
  <si>
    <t>НР-18</t>
  </si>
  <si>
    <t>Останкино ул.Заводская</t>
  </si>
  <si>
    <t>Бор. ра-он. Останкинский с/с, с. Останкино, ул. Заводская,294 а</t>
  </si>
  <si>
    <t>Останкино ул.Школьная</t>
  </si>
  <si>
    <t>Бор. р-он, Останскинский с/с, с. Останкино, ул. Школьная, 31 а</t>
  </si>
  <si>
    <t>HWK-1000</t>
  </si>
  <si>
    <t>HWK-2000</t>
  </si>
  <si>
    <t>Ивановское</t>
  </si>
  <si>
    <t>Борский район, с. Ивановское, ул. Светлая,279</t>
  </si>
  <si>
    <t>Универсал-5М</t>
  </si>
  <si>
    <t>Плотинка</t>
  </si>
  <si>
    <t>Борский район, Ямновский с/с, д. Плотинки,ул.Культуры,237</t>
  </si>
  <si>
    <t>Ямново ул.Школьная</t>
  </si>
  <si>
    <t>Борский район. Ямновский с/с, с.Ямново,ул.Школьная,19</t>
  </si>
  <si>
    <t>СТГ-Премьер</t>
  </si>
  <si>
    <t>"Классик"</t>
  </si>
  <si>
    <t>ул.Нахимова</t>
  </si>
  <si>
    <t>г. Бор, ул. Нахимова, 25 а</t>
  </si>
  <si>
    <t>Ква-1,0</t>
  </si>
  <si>
    <t>Ква-0,5</t>
  </si>
  <si>
    <t>ул.Красногорка</t>
  </si>
  <si>
    <t>г. Бор, ул. Красногорка, д. 16</t>
  </si>
  <si>
    <t>Ква-2,5</t>
  </si>
  <si>
    <t>ул.Дружба</t>
  </si>
  <si>
    <t>г. Бор, п. неклюдово, квартал Дружба, 21</t>
  </si>
  <si>
    <t>6-я фабрика + ЦТП</t>
  </si>
  <si>
    <t>г. Бор, ул. Клубная, д. 2 а</t>
  </si>
  <si>
    <t>ДКВр-6,5/13</t>
  </si>
  <si>
    <t>ДКВр-10/13</t>
  </si>
  <si>
    <t>Островского</t>
  </si>
  <si>
    <t>г. Бор, ул. Островского, д. 14</t>
  </si>
  <si>
    <t>ул.Лихачева</t>
  </si>
  <si>
    <t xml:space="preserve">г. Бор, пер. Лихачева, 3 а </t>
  </si>
  <si>
    <t>HWK-3200</t>
  </si>
  <si>
    <t>ул.Баринова</t>
  </si>
  <si>
    <t>г. Бор, пер. Баринова, 3 а</t>
  </si>
  <si>
    <t>Алмаз</t>
  </si>
  <si>
    <t>г. Бор, ул. Коммунистическая, д. 3 а</t>
  </si>
  <si>
    <t>ДК</t>
  </si>
  <si>
    <t xml:space="preserve">г. Бор, Стеклозаводское шоссе, д. 15 а </t>
  </si>
  <si>
    <t>ул.Чугунова+ ЦТП</t>
  </si>
  <si>
    <t>г. Бор, ул. Западная, д. 12 а</t>
  </si>
  <si>
    <t>ул.Победа</t>
  </si>
  <si>
    <t>г. Бор, п. Октябрьский, ул. Победы, д. 6 а</t>
  </si>
  <si>
    <t>Ква-2,5Г-ЭЭ</t>
  </si>
  <si>
    <t>п.Б.Пикино (завод)</t>
  </si>
  <si>
    <t>г. Бор, ул. Кооперативная,9 корп.2</t>
  </si>
  <si>
    <t>ДЕ-10/14</t>
  </si>
  <si>
    <t>п.Б.Пикино (поселок)</t>
  </si>
  <si>
    <t>г. Бор, п. Б. Пикино, ул. Больничная, 15</t>
  </si>
  <si>
    <t>Кр.Слобода</t>
  </si>
  <si>
    <t>Борсикй район, Краснослободской с/с, д. Красная Слобода,ул.Центральная,31</t>
  </si>
  <si>
    <t>Факел-Г</t>
  </si>
  <si>
    <t>Б/к п.Октябрьский</t>
  </si>
  <si>
    <t>г. Бор, п. октябрьский, ул. Октябрьская, д. 2 б</t>
  </si>
  <si>
    <t>КВА-3,2</t>
  </si>
  <si>
    <t>КВА-4,0</t>
  </si>
  <si>
    <t>п.Железнодорожный</t>
  </si>
  <si>
    <t>Борский район, п. Железнодорожный, Ситниковский с/с, ул. Центральная, д. 18 б</t>
  </si>
  <si>
    <t>ул.Фрунзе</t>
  </si>
  <si>
    <t>г. Бор, ул. Фрунзе, д. 71</t>
  </si>
  <si>
    <t>HWK-4000</t>
  </si>
  <si>
    <t>HWK-2500</t>
  </si>
  <si>
    <t>ул.Интернациональная</t>
  </si>
  <si>
    <t xml:space="preserve">г. Бор, ул. Мичурина, д. 6 а </t>
  </si>
  <si>
    <t>HWK-1300</t>
  </si>
  <si>
    <t>ул.Ленина</t>
  </si>
  <si>
    <t>г. Бор, ул. Ленина, 132</t>
  </si>
  <si>
    <t>Ч.Борское</t>
  </si>
  <si>
    <t>Бор. район, Редькинский с/с, сельс.п. Чистое Борское, ул. Октябрьская,10 а</t>
  </si>
  <si>
    <t>ВКГМ-2,5</t>
  </si>
  <si>
    <t>ВКГМ-2,6</t>
  </si>
  <si>
    <t>ПВКГМ-2,5</t>
  </si>
  <si>
    <t>п.Редькино</t>
  </si>
  <si>
    <t>Борский район, Редькинский с/с, с. Редькино,25</t>
  </si>
  <si>
    <t>Ква-1,6</t>
  </si>
  <si>
    <t>ПНИ</t>
  </si>
  <si>
    <t>г. Бор, ул. Коммунистическая, д. 28</t>
  </si>
  <si>
    <t>КВТС-1М</t>
  </si>
  <si>
    <t>КВС-1М</t>
  </si>
  <si>
    <t>п.Б.Орлы</t>
  </si>
  <si>
    <t>Борский район, Останскинский с/с, п. Большеорловское, ул. Микрорайон, д. 8 а</t>
  </si>
  <si>
    <t>ТВГ-4</t>
  </si>
  <si>
    <t>ППК кв.8</t>
  </si>
  <si>
    <t>г. Бор, п. ППК квартал 8 д.1а</t>
  </si>
  <si>
    <t>ППК ул.Школьная</t>
  </si>
  <si>
    <t>г. Бор, п. ППК ул.Школьная д.3</t>
  </si>
  <si>
    <t>2-ой микрорайон</t>
  </si>
  <si>
    <t>г. Бор, 2 Микрорайон, д. 23</t>
  </si>
  <si>
    <t>ТВГ-8М</t>
  </si>
  <si>
    <t>ул.Октябрьская</t>
  </si>
  <si>
    <t>г. Бор, ул. Октябрьская, д. 84 а</t>
  </si>
  <si>
    <t>п. Советский</t>
  </si>
  <si>
    <t xml:space="preserve">п.Неклюдово ул.Чапаева-17а </t>
  </si>
  <si>
    <t>ква-0,5</t>
  </si>
  <si>
    <t>Производительность парового котла, т/час</t>
  </si>
  <si>
    <t>ул.Везломцева</t>
  </si>
  <si>
    <t>г. Бор, ул. Везломцева, д. 15 а</t>
  </si>
  <si>
    <t>Больница-2</t>
  </si>
  <si>
    <t>г. Бор, ул. Энгельса, д. 15 д</t>
  </si>
  <si>
    <t>КСВ-1,86</t>
  </si>
  <si>
    <t>КСВ-1,9</t>
  </si>
  <si>
    <t>снят с учета , списан</t>
  </si>
  <si>
    <t>РЕЗЕРВ</t>
  </si>
  <si>
    <t>ЦРБ блочная</t>
  </si>
  <si>
    <t>ул.Бабушкина-8р</t>
  </si>
  <si>
    <t>Рустай</t>
  </si>
  <si>
    <t>Останкинский с/с п.Рустай ул.Пионерская-17</t>
  </si>
  <si>
    <t>Универсал-5м</t>
  </si>
  <si>
    <t>резерв мощности Гкал/час</t>
  </si>
  <si>
    <t>ИНФОРМАЦИЯ О НАЛИЧИИ РЕЗЕРВНОЙ  МОЩНОСТИ  ОАО ОК и ТС  по состоянию на 31 декабря 2010г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</si>
</sst>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  <numFmt numFmtId="174" formatCode="0.00000000"/>
    <numFmt numFmtId="175" formatCode="_(* #,##0.00_);_(* \(#,##0.00\);_(* &quot;-&quot;??_);_(@_)"/>
    <numFmt numFmtId="176" formatCode="_(* #,##0.0000_);_(* \(#,##0.0000\);_(* &quot;-&quot;??_);_(@_)"/>
    <numFmt numFmtId="177" formatCode="[$-419]mmmm\ yyyy;@"/>
    <numFmt numFmtId="178" formatCode="_(* #,##0.000_);_(* \(#,##0.000\);_(* &quot;-&quot;??_);_(@_)"/>
    <numFmt numFmtId="179" formatCode="_-* #,##0.0000_р_._-;\-* #,##0.0000_р_._-;_-* &quot;-&quot;????_р_._-;_-@_-"/>
    <numFmt numFmtId="180" formatCode="_(* #,##0.0_);_(* \(#,##0.0\);_(* &quot;-&quot;??_);_(@_)"/>
    <numFmt numFmtId="181" formatCode="#,##0.000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2" fillId="21" borderId="7" applyBorder="0">
      <alignment horizontal="right"/>
      <protection/>
    </xf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4" borderId="12" applyBorder="0">
      <alignment horizontal="right"/>
      <protection/>
    </xf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 quotePrefix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76" fontId="5" fillId="0" borderId="7" xfId="63" applyNumberFormat="1" applyFont="1" applyFill="1" applyBorder="1" applyAlignment="1">
      <alignment horizontal="center" vertical="center" wrapText="1"/>
    </xf>
    <xf numFmtId="176" fontId="5" fillId="0" borderId="7" xfId="63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7" xfId="0" applyNumberForma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0" fillId="0" borderId="7" xfId="63" applyNumberFormat="1" applyFont="1" applyFill="1" applyBorder="1" applyAlignment="1">
      <alignment vertical="center" wrapText="1"/>
    </xf>
    <xf numFmtId="176" fontId="0" fillId="0" borderId="7" xfId="63" applyNumberFormat="1" applyFont="1" applyFill="1" applyBorder="1" applyAlignment="1">
      <alignment horizontal="center" vertical="center" wrapText="1"/>
    </xf>
    <xf numFmtId="170" fontId="0" fillId="0" borderId="16" xfId="0" applyNumberForma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76" fontId="6" fillId="0" borderId="7" xfId="63" applyNumberFormat="1" applyFont="1" applyFill="1" applyBorder="1" applyAlignment="1">
      <alignment vertical="center" wrapText="1"/>
    </xf>
    <xf numFmtId="175" fontId="0" fillId="0" borderId="7" xfId="63" applyNumberFormat="1" applyFont="1" applyFill="1" applyBorder="1" applyAlignment="1">
      <alignment horizontal="center" vertical="center" wrapText="1"/>
    </xf>
    <xf numFmtId="176" fontId="0" fillId="0" borderId="14" xfId="63" applyNumberFormat="1" applyFont="1" applyFill="1" applyBorder="1" applyAlignment="1">
      <alignment vertical="center" wrapText="1"/>
    </xf>
    <xf numFmtId="175" fontId="0" fillId="0" borderId="0" xfId="63" applyNumberFormat="1" applyFont="1" applyFill="1" applyBorder="1" applyAlignment="1">
      <alignment/>
    </xf>
    <xf numFmtId="176" fontId="0" fillId="0" borderId="0" xfId="63" applyNumberFormat="1" applyFont="1" applyFill="1" applyAlignment="1">
      <alignment/>
    </xf>
    <xf numFmtId="0" fontId="0" fillId="0" borderId="17" xfId="0" applyFill="1" applyBorder="1" applyAlignment="1">
      <alignment horizontal="center" vertical="center" textRotation="180" wrapText="1"/>
    </xf>
    <xf numFmtId="0" fontId="5" fillId="0" borderId="14" xfId="0" applyFont="1" applyFill="1" applyBorder="1" applyAlignment="1">
      <alignment horizontal="center" vertical="center" textRotation="180" wrapText="1"/>
    </xf>
    <xf numFmtId="2" fontId="0" fillId="0" borderId="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0" xfId="0" applyAlignment="1">
      <alignment horizontal="center" vertical="center" wrapText="1"/>
    </xf>
    <xf numFmtId="176" fontId="5" fillId="0" borderId="14" xfId="63" applyNumberFormat="1" applyFont="1" applyFill="1" applyBorder="1" applyAlignment="1">
      <alignment horizontal="center" vertical="center" wrapText="1"/>
    </xf>
    <xf numFmtId="176" fontId="5" fillId="0" borderId="13" xfId="63" applyNumberFormat="1" applyFont="1" applyFill="1" applyBorder="1" applyAlignment="1">
      <alignment horizontal="center" vertical="center" wrapText="1"/>
    </xf>
    <xf numFmtId="176" fontId="0" fillId="0" borderId="14" xfId="63" applyNumberFormat="1" applyFont="1" applyFill="1" applyBorder="1" applyAlignment="1">
      <alignment horizontal="center" vertical="center" wrapText="1"/>
    </xf>
    <xf numFmtId="176" fontId="0" fillId="0" borderId="18" xfId="63" applyNumberFormat="1" applyFont="1" applyFill="1" applyBorder="1" applyAlignment="1">
      <alignment horizontal="center" vertical="center" wrapText="1"/>
    </xf>
    <xf numFmtId="176" fontId="0" fillId="0" borderId="13" xfId="63" applyNumberFormat="1" applyFont="1" applyFill="1" applyBorder="1" applyAlignment="1">
      <alignment horizontal="center" vertical="center" wrapText="1"/>
    </xf>
    <xf numFmtId="170" fontId="0" fillId="0" borderId="19" xfId="0" applyNumberFormat="1" applyFill="1" applyBorder="1" applyAlignment="1">
      <alignment horizontal="center" vertical="center" wrapText="1"/>
    </xf>
    <xf numFmtId="170" fontId="0" fillId="0" borderId="20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8" fontId="0" fillId="0" borderId="14" xfId="63" applyNumberFormat="1" applyFont="1" applyFill="1" applyBorder="1" applyAlignment="1">
      <alignment horizontal="center" vertical="center" wrapText="1"/>
    </xf>
    <xf numFmtId="178" fontId="0" fillId="0" borderId="18" xfId="63" applyNumberFormat="1" applyFont="1" applyFill="1" applyBorder="1" applyAlignment="1">
      <alignment horizontal="center" vertical="center" wrapText="1"/>
    </xf>
    <xf numFmtId="178" fontId="0" fillId="0" borderId="13" xfId="63" applyNumberFormat="1" applyFont="1" applyFill="1" applyBorder="1" applyAlignment="1">
      <alignment horizontal="center" vertical="center" wrapText="1"/>
    </xf>
    <xf numFmtId="176" fontId="5" fillId="0" borderId="18" xfId="6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70" fontId="0" fillId="0" borderId="21" xfId="0" applyNumberFormat="1" applyFill="1" applyBorder="1" applyAlignment="1">
      <alignment horizontal="center" vertical="center" wrapText="1"/>
    </xf>
    <xf numFmtId="170" fontId="0" fillId="0" borderId="7" xfId="0" applyNumberForma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8" fontId="0" fillId="0" borderId="7" xfId="63" applyNumberFormat="1" applyFont="1" applyFill="1" applyBorder="1" applyAlignment="1">
      <alignment horizontal="center" vertical="center" wrapText="1"/>
    </xf>
    <xf numFmtId="178" fontId="5" fillId="0" borderId="14" xfId="63" applyNumberFormat="1" applyFont="1" applyFill="1" applyBorder="1" applyAlignment="1">
      <alignment horizontal="center" vertical="center" wrapText="1"/>
    </xf>
    <xf numFmtId="178" fontId="5" fillId="0" borderId="18" xfId="63" applyNumberFormat="1" applyFont="1" applyFill="1" applyBorder="1" applyAlignment="1">
      <alignment horizontal="center" vertical="center" wrapText="1"/>
    </xf>
    <xf numFmtId="178" fontId="5" fillId="0" borderId="13" xfId="63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center" vertical="center" wrapText="1"/>
    </xf>
    <xf numFmtId="170" fontId="0" fillId="0" borderId="22" xfId="0" applyNumberFormat="1" applyFill="1" applyBorder="1" applyAlignment="1">
      <alignment horizontal="center" vertical="center" wrapText="1"/>
    </xf>
    <xf numFmtId="170" fontId="0" fillId="0" borderId="23" xfId="0" applyNumberFormat="1" applyFill="1" applyBorder="1" applyAlignment="1">
      <alignment horizontal="center" vertical="center" wrapText="1"/>
    </xf>
    <xf numFmtId="170" fontId="0" fillId="0" borderId="2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76" fontId="0" fillId="0" borderId="26" xfId="63" applyNumberFormat="1" applyFont="1" applyFill="1" applyBorder="1" applyAlignment="1">
      <alignment horizontal="center" vertical="center" textRotation="180" wrapText="1"/>
    </xf>
    <xf numFmtId="176" fontId="0" fillId="0" borderId="27" xfId="63" applyNumberFormat="1" applyFont="1" applyFill="1" applyBorder="1" applyAlignment="1">
      <alignment horizontal="center" vertical="center" textRotation="180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ормулаВБ_Мониторинг инвестиций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0;&#1076;&#1084;&#1080;&#1085;&#1080;&#1089;&#1090;&#1088;&#1072;&#1090;&#1086;&#1088;\&#1056;&#1072;&#1073;&#1086;&#1095;&#1080;&#1081;%20&#1089;&#1090;&#1086;&#1083;\&#1086;&#1090;&#1095;&#1077;&#1090;%202010,%20&#1085;&#1072;%20&#1089;&#1072;&#1081;&#1090;\&#1076;&#1083;&#1103;%20&#1089;&#1072;&#1081;&#1090;&#1072;,%202009&#1075;&#1086;&#1076;\&#1096;&#1072;&#1073;&#1083;&#1086;&#1085;&#1099;%20&#1060;&#1057;&#1058;,&#1086;&#1090;&#1095;&#1077;&#1090;&#1099;\&#1086;&#1090;&#1095;&#1077;&#1090;%20&#1087;&#1086;%20&#1080;&#1085;&#1074;&#1077;&#1089;&#1090;%20&#1079;&#1072;%202008%20&#1080;%201%20&#1082;&#1074;%202009\INV.WARM.QV.%20&#1079;&#1072;%20&#1075;&#1086;&#1076;%20%202009%20&#1089;%20&#1053;&#1044;&#10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3;&#1040;&#1058;&#1040;&#1051;&#1048;&#1071;%20&#1040;&#1042;&#1045;&#1056;&#1050;&#1048;&#1045;&#1042;&#1053;&#1040;\&#1053;&#1086;&#1074;&#1072;&#1103;%20&#1087;&#1072;&#1087;&#1082;&#1072;%20(2)\&#1056;&#1040;&#1057;&#1063;&#1045;&#1058;&#1067;%20&#1058;&#1040;&#1056;&#1048;&#1060;&#1054;&#1042;\&#1090;&#1072;&#1088;&#1080;&#1092;%202011\&#1089;.&#1085;&#1091;&#1078;&#1076;&#1099;%20&#1089;%20&#1087;&#1088;&#1080;&#1077;&#1084;&#1082;&#1086;&#1081;%20&#1082;%20&#1090;&#1072;&#1088;&#1080;&#1092;&#1091;%202011&#1075;,&#1087;&#1088;&#1086;&#1074;&#1077;&#1088;&#1077;&#1085;&#1085;&#1099;&#1077;%20&#1087;&#1086;%20&#1085;&#1072;&#1075;&#1088;&#1091;&#1079;&#1082;&#1072;&#1084;%20&#1074;%20201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"/>
    </sheetNames>
    <sheetDataSet>
      <sheetData sheetId="7">
        <row r="4">
          <cell r="C4" t="str">
            <v>прибыль</v>
          </cell>
        </row>
        <row r="5">
          <cell r="C5" t="str">
            <v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прочие источники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бивка котлов по мощности"/>
      <sheetName val="собст_нужды"/>
      <sheetName val="данные по КПД 2008,2009гг"/>
      <sheetName val="расчет средней нормы"/>
    </sheetNames>
    <sheetDataSet>
      <sheetData sheetId="3">
        <row r="6">
          <cell r="AC6">
            <v>0.38092080155844155</v>
          </cell>
        </row>
        <row r="7">
          <cell r="AC7">
            <v>0.22912725108225107</v>
          </cell>
        </row>
        <row r="8">
          <cell r="AC8">
            <v>0.9299905266955268</v>
          </cell>
        </row>
        <row r="9">
          <cell r="AC9">
            <v>0.1572982387878788</v>
          </cell>
        </row>
        <row r="10">
          <cell r="AC10">
            <v>4.180868179435302</v>
          </cell>
        </row>
        <row r="11">
          <cell r="AC11">
            <v>1.6091264069264068</v>
          </cell>
        </row>
        <row r="12">
          <cell r="AC12">
            <v>0.31911656709956704</v>
          </cell>
        </row>
        <row r="13">
          <cell r="AC13">
            <v>4.537651249952162</v>
          </cell>
        </row>
        <row r="14">
          <cell r="AC14">
            <v>19.900374771178946</v>
          </cell>
        </row>
        <row r="15">
          <cell r="AC15">
            <v>1.501565518975656</v>
          </cell>
        </row>
        <row r="16">
          <cell r="AC16">
            <v>20.819563001227216</v>
          </cell>
        </row>
        <row r="17">
          <cell r="AC17">
            <v>3.3389041398086374</v>
          </cell>
        </row>
        <row r="18">
          <cell r="AC18">
            <v>4.211284966523543</v>
          </cell>
        </row>
        <row r="19">
          <cell r="AC19">
            <v>1.9076010341991343</v>
          </cell>
        </row>
        <row r="20">
          <cell r="AC20">
            <v>1.9715412377851957</v>
          </cell>
        </row>
        <row r="21">
          <cell r="AC21">
            <v>4.6442315851178195</v>
          </cell>
        </row>
        <row r="23">
          <cell r="AC23">
            <v>0.5352619999999999</v>
          </cell>
        </row>
        <row r="24">
          <cell r="AC24">
            <v>0.5490209250281743</v>
          </cell>
        </row>
        <row r="27">
          <cell r="AC27">
            <v>2.0605745934657596</v>
          </cell>
        </row>
        <row r="28">
          <cell r="AC28">
            <v>4.23125896102376</v>
          </cell>
        </row>
        <row r="29">
          <cell r="AC29">
            <v>3.9841415627705628</v>
          </cell>
        </row>
        <row r="30">
          <cell r="AC30">
            <v>2.423740852635349</v>
          </cell>
        </row>
        <row r="31">
          <cell r="AC31">
            <v>4.012896497698158</v>
          </cell>
        </row>
        <row r="32">
          <cell r="AC32">
            <v>1.6735463946992681</v>
          </cell>
        </row>
        <row r="33">
          <cell r="AC33">
            <v>0.16643823520923523</v>
          </cell>
        </row>
        <row r="34">
          <cell r="AC34">
            <v>0.37019362395382394</v>
          </cell>
        </row>
        <row r="35">
          <cell r="AC35">
            <v>4.353129237204323</v>
          </cell>
        </row>
        <row r="36">
          <cell r="AC36">
            <v>3.7606457113813807</v>
          </cell>
        </row>
        <row r="37">
          <cell r="AC37">
            <v>0.25715000793650794</v>
          </cell>
        </row>
        <row r="38">
          <cell r="AC38">
            <v>10.391162600181257</v>
          </cell>
        </row>
        <row r="39">
          <cell r="AC39">
            <v>2.3783023314517733</v>
          </cell>
        </row>
        <row r="40">
          <cell r="AC40">
            <v>4.2482203174603175</v>
          </cell>
        </row>
        <row r="41">
          <cell r="AC41">
            <v>0.1255387005772006</v>
          </cell>
        </row>
        <row r="42">
          <cell r="AC42">
            <v>2.00649903997114</v>
          </cell>
        </row>
        <row r="43">
          <cell r="AC43">
            <v>0.154227</v>
          </cell>
        </row>
        <row r="44">
          <cell r="AC44">
            <v>0.4032713425685426</v>
          </cell>
        </row>
        <row r="45">
          <cell r="AC45">
            <v>0.14434554184704185</v>
          </cell>
        </row>
        <row r="46">
          <cell r="AC46">
            <v>0.13290281024531025</v>
          </cell>
        </row>
        <row r="47">
          <cell r="AC47">
            <v>4.35338442297656</v>
          </cell>
        </row>
        <row r="48">
          <cell r="AC48">
            <v>0.387668606060606</v>
          </cell>
        </row>
        <row r="49">
          <cell r="AC49">
            <v>0.4048629524531025</v>
          </cell>
        </row>
        <row r="50">
          <cell r="AC50">
            <v>0.14547433708513707</v>
          </cell>
        </row>
        <row r="51">
          <cell r="AC51">
            <v>7.084085714274718</v>
          </cell>
        </row>
        <row r="52">
          <cell r="AC52">
            <v>5.73067041455657</v>
          </cell>
        </row>
        <row r="53">
          <cell r="AC53">
            <v>10.672122733992099</v>
          </cell>
        </row>
        <row r="54">
          <cell r="AC54">
            <v>0.588976468843117</v>
          </cell>
        </row>
        <row r="57">
          <cell r="AC57">
            <v>2.352895057229648</v>
          </cell>
        </row>
        <row r="58">
          <cell r="AC58">
            <v>0.281696943001443</v>
          </cell>
        </row>
        <row r="59">
          <cell r="AC59">
            <v>2.4089407994292795</v>
          </cell>
        </row>
        <row r="60">
          <cell r="AC60">
            <v>3.2451494770573888</v>
          </cell>
        </row>
        <row r="61">
          <cell r="AC61">
            <v>0.32052078447046445</v>
          </cell>
        </row>
        <row r="62">
          <cell r="AC62">
            <v>2.106221492457331</v>
          </cell>
        </row>
        <row r="63">
          <cell r="AC63">
            <v>0.07345354112554113</v>
          </cell>
        </row>
        <row r="64">
          <cell r="AC64">
            <v>6.235167943522637</v>
          </cell>
        </row>
        <row r="65">
          <cell r="AC65">
            <v>6.371313582403027</v>
          </cell>
        </row>
        <row r="70">
          <cell r="AC70">
            <v>0.6465811645021645</v>
          </cell>
        </row>
        <row r="71">
          <cell r="AC71">
            <v>3.4412016562770567</v>
          </cell>
        </row>
        <row r="72">
          <cell r="AC72">
            <v>0.31874926406926407</v>
          </cell>
        </row>
        <row r="73">
          <cell r="AC73">
            <v>0.9593321515151515</v>
          </cell>
        </row>
        <row r="74">
          <cell r="AC74">
            <v>0.1562215367965368</v>
          </cell>
        </row>
        <row r="75">
          <cell r="AC75">
            <v>1.2657070346320347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88"/>
  <sheetViews>
    <sheetView tabSelected="1" view="pageBreakPreview" zoomScale="80" zoomScaleNormal="91" zoomScaleSheetLayoutView="80" zoomScalePageLayoutView="0" workbookViewId="0" topLeftCell="B1">
      <selection activeCell="A1" sqref="A1:IV1"/>
    </sheetView>
  </sheetViews>
  <sheetFormatPr defaultColWidth="14.125" defaultRowHeight="12.75"/>
  <cols>
    <col min="1" max="1" width="6.625" style="0" hidden="1" customWidth="1"/>
    <col min="2" max="2" width="28.75390625" style="11" customWidth="1"/>
    <col min="3" max="3" width="43.125" style="11" customWidth="1"/>
    <col min="4" max="4" width="14.125" style="11" hidden="1" customWidth="1"/>
    <col min="5" max="5" width="7.625" style="11" hidden="1" customWidth="1"/>
    <col min="6" max="6" width="11.75390625" style="11" hidden="1" customWidth="1"/>
    <col min="7" max="7" width="12.25390625" style="24" hidden="1" customWidth="1"/>
    <col min="8" max="8" width="11.375" style="11" hidden="1" customWidth="1"/>
    <col min="9" max="9" width="14.125" style="11" customWidth="1"/>
  </cols>
  <sheetData>
    <row r="1" spans="1:9" ht="36" customHeight="1" thickBot="1">
      <c r="A1" s="37" t="s">
        <v>191</v>
      </c>
      <c r="B1" s="29"/>
      <c r="C1" s="29"/>
      <c r="D1" s="29"/>
      <c r="E1" s="29"/>
      <c r="F1" s="29"/>
      <c r="G1" s="29"/>
      <c r="H1" s="29"/>
      <c r="I1" s="29"/>
    </row>
    <row r="2" spans="1:9" ht="27.75" customHeight="1">
      <c r="A2" s="71" t="s">
        <v>0</v>
      </c>
      <c r="B2" s="73" t="s">
        <v>1</v>
      </c>
      <c r="C2" s="73" t="s">
        <v>2</v>
      </c>
      <c r="D2" s="73" t="s">
        <v>3</v>
      </c>
      <c r="E2" s="75" t="s">
        <v>4</v>
      </c>
      <c r="F2" s="76"/>
      <c r="G2" s="77" t="s">
        <v>5</v>
      </c>
      <c r="H2" s="79" t="s">
        <v>6</v>
      </c>
      <c r="I2" s="82" t="s">
        <v>190</v>
      </c>
    </row>
    <row r="3" spans="1:9" ht="6.75" customHeight="1" thickBot="1">
      <c r="A3" s="72"/>
      <c r="B3" s="74"/>
      <c r="C3" s="74"/>
      <c r="D3" s="74"/>
      <c r="E3" s="25" t="s">
        <v>176</v>
      </c>
      <c r="F3" s="26" t="s">
        <v>7</v>
      </c>
      <c r="G3" s="78"/>
      <c r="H3" s="80"/>
      <c r="I3" s="83"/>
    </row>
    <row r="4" spans="1:9" ht="16.5" customHeight="1">
      <c r="A4" s="14">
        <v>1</v>
      </c>
      <c r="B4" s="58" t="s">
        <v>8</v>
      </c>
      <c r="C4" s="81" t="s">
        <v>9</v>
      </c>
      <c r="D4" s="1" t="s">
        <v>10</v>
      </c>
      <c r="E4" s="1"/>
      <c r="F4" s="15">
        <v>0.293</v>
      </c>
      <c r="G4" s="33">
        <f>F4+F5</f>
        <v>0.6153</v>
      </c>
      <c r="H4" s="70">
        <f>'[2]расчет средней нормы'!$AC$6</f>
        <v>0.38092080155844155</v>
      </c>
      <c r="I4" s="43">
        <f>G4-H4</f>
        <v>0.2343791984415584</v>
      </c>
    </row>
    <row r="5" spans="1:9" ht="3" customHeight="1">
      <c r="A5" s="14">
        <v>2</v>
      </c>
      <c r="B5" s="59"/>
      <c r="C5" s="62"/>
      <c r="D5" s="2" t="s">
        <v>10</v>
      </c>
      <c r="E5" s="2"/>
      <c r="F5" s="15">
        <v>0.3223</v>
      </c>
      <c r="G5" s="34"/>
      <c r="H5" s="36"/>
      <c r="I5" s="36"/>
    </row>
    <row r="6" spans="1:9" ht="17.25" customHeight="1">
      <c r="A6" s="14">
        <v>3</v>
      </c>
      <c r="B6" s="57" t="s">
        <v>11</v>
      </c>
      <c r="C6" s="60" t="s">
        <v>12</v>
      </c>
      <c r="D6" s="2" t="s">
        <v>13</v>
      </c>
      <c r="E6" s="2"/>
      <c r="F6" s="15">
        <f>0.75/2</f>
        <v>0.375</v>
      </c>
      <c r="G6" s="32">
        <f>F6+F7</f>
        <v>0.75</v>
      </c>
      <c r="H6" s="68">
        <f>'[2]расчет средней нормы'!$AC$7</f>
        <v>0.22912725108225107</v>
      </c>
      <c r="I6" s="44">
        <f>G6-H6</f>
        <v>0.5208727489177489</v>
      </c>
    </row>
    <row r="7" spans="1:9" ht="18.75" customHeight="1" hidden="1">
      <c r="A7" s="14">
        <v>4</v>
      </c>
      <c r="B7" s="59"/>
      <c r="C7" s="62"/>
      <c r="D7" s="2" t="s">
        <v>13</v>
      </c>
      <c r="E7" s="2"/>
      <c r="F7" s="15">
        <f>0.75/2</f>
        <v>0.375</v>
      </c>
      <c r="G7" s="34"/>
      <c r="H7" s="69"/>
      <c r="I7" s="44"/>
    </row>
    <row r="8" spans="1:9" ht="14.25" customHeight="1">
      <c r="A8" s="14">
        <v>5</v>
      </c>
      <c r="B8" s="57" t="s">
        <v>14</v>
      </c>
      <c r="C8" s="60" t="s">
        <v>15</v>
      </c>
      <c r="D8" s="2" t="s">
        <v>10</v>
      </c>
      <c r="E8" s="2"/>
      <c r="F8" s="15">
        <f>0.8966/2</f>
        <v>0.4483</v>
      </c>
      <c r="G8" s="32">
        <f>F8+F9</f>
        <v>0.8966</v>
      </c>
      <c r="H8" s="68">
        <f>'[2]расчет средней нормы'!$AC$9</f>
        <v>0.1572982387878788</v>
      </c>
      <c r="I8" s="44">
        <f>G8-H8</f>
        <v>0.7393017612121211</v>
      </c>
    </row>
    <row r="9" spans="1:9" ht="18.75" customHeight="1" hidden="1">
      <c r="A9" s="14">
        <v>6</v>
      </c>
      <c r="B9" s="59"/>
      <c r="C9" s="62"/>
      <c r="D9" s="2" t="s">
        <v>10</v>
      </c>
      <c r="E9" s="2"/>
      <c r="F9" s="15">
        <f>0.8966/2</f>
        <v>0.4483</v>
      </c>
      <c r="G9" s="34"/>
      <c r="H9" s="69"/>
      <c r="I9" s="44"/>
    </row>
    <row r="10" spans="1:9" ht="18.75" customHeight="1" hidden="1">
      <c r="A10" s="14">
        <v>7</v>
      </c>
      <c r="B10" s="57" t="s">
        <v>16</v>
      </c>
      <c r="C10" s="60" t="s">
        <v>17</v>
      </c>
      <c r="D10" s="2" t="s">
        <v>18</v>
      </c>
      <c r="E10" s="2"/>
      <c r="F10" s="15">
        <f>0.72/1.16</f>
        <v>0.6206896551724138</v>
      </c>
      <c r="G10" s="30">
        <f>F10+F11+F12+F13+F14+F15+F16+F17+E14*0.64</f>
        <v>4.017220689655172</v>
      </c>
      <c r="H10" s="35">
        <f>'[2]расчет средней нормы'!$AC$10</f>
        <v>4.180868179435302</v>
      </c>
      <c r="I10" s="30">
        <f>G10-H10</f>
        <v>-0.16364748978013033</v>
      </c>
    </row>
    <row r="11" spans="1:9" ht="18.75" customHeight="1" hidden="1">
      <c r="A11" s="14">
        <v>8</v>
      </c>
      <c r="B11" s="58"/>
      <c r="C11" s="61"/>
      <c r="D11" s="2" t="s">
        <v>18</v>
      </c>
      <c r="E11" s="2"/>
      <c r="F11" s="15">
        <f>0.78/1.16</f>
        <v>0.6724137931034484</v>
      </c>
      <c r="G11" s="41"/>
      <c r="H11" s="43"/>
      <c r="I11" s="41"/>
    </row>
    <row r="12" spans="1:9" ht="18.75" customHeight="1" hidden="1">
      <c r="A12" s="14">
        <v>9</v>
      </c>
      <c r="B12" s="58"/>
      <c r="C12" s="61"/>
      <c r="D12" s="2" t="s">
        <v>19</v>
      </c>
      <c r="E12" s="2"/>
      <c r="F12" s="15">
        <f>0.41/1.16</f>
        <v>0.35344827586206895</v>
      </c>
      <c r="G12" s="41"/>
      <c r="H12" s="43"/>
      <c r="I12" s="41"/>
    </row>
    <row r="13" spans="1:9" ht="18.75" customHeight="1" hidden="1">
      <c r="A13" s="14">
        <v>10</v>
      </c>
      <c r="B13" s="58"/>
      <c r="C13" s="61"/>
      <c r="D13" s="2" t="s">
        <v>19</v>
      </c>
      <c r="E13" s="2"/>
      <c r="F13" s="15">
        <f>0.42/1.16</f>
        <v>0.3620689655172414</v>
      </c>
      <c r="G13" s="41"/>
      <c r="H13" s="43"/>
      <c r="I13" s="41"/>
    </row>
    <row r="14" spans="1:9" ht="18.75" customHeight="1" hidden="1">
      <c r="A14" s="14">
        <v>11</v>
      </c>
      <c r="B14" s="58"/>
      <c r="C14" s="61"/>
      <c r="D14" s="4" t="s">
        <v>20</v>
      </c>
      <c r="E14" s="2">
        <v>1</v>
      </c>
      <c r="F14" s="15"/>
      <c r="G14" s="41"/>
      <c r="H14" s="43"/>
      <c r="I14" s="41"/>
    </row>
    <row r="15" spans="1:9" ht="18.75" customHeight="1" hidden="1">
      <c r="A15" s="14">
        <v>12</v>
      </c>
      <c r="B15" s="58"/>
      <c r="C15" s="61"/>
      <c r="D15" s="2" t="s">
        <v>19</v>
      </c>
      <c r="E15" s="2"/>
      <c r="F15" s="15">
        <v>0.36</v>
      </c>
      <c r="G15" s="41"/>
      <c r="H15" s="43"/>
      <c r="I15" s="41"/>
    </row>
    <row r="16" spans="1:9" ht="18.75" customHeight="1" hidden="1">
      <c r="A16" s="14">
        <v>13</v>
      </c>
      <c r="B16" s="58"/>
      <c r="C16" s="61"/>
      <c r="D16" s="5" t="s">
        <v>21</v>
      </c>
      <c r="E16" s="2"/>
      <c r="F16" s="15">
        <v>0.5043</v>
      </c>
      <c r="G16" s="41"/>
      <c r="H16" s="43"/>
      <c r="I16" s="41"/>
    </row>
    <row r="17" spans="1:9" ht="18.75" customHeight="1" hidden="1">
      <c r="A17" s="14">
        <v>14</v>
      </c>
      <c r="B17" s="59"/>
      <c r="C17" s="62"/>
      <c r="D17" s="5" t="s">
        <v>21</v>
      </c>
      <c r="E17" s="2"/>
      <c r="F17" s="15">
        <v>0.5043</v>
      </c>
      <c r="G17" s="31"/>
      <c r="H17" s="36"/>
      <c r="I17" s="31"/>
    </row>
    <row r="18" spans="1:9" ht="18" customHeight="1" hidden="1">
      <c r="A18" s="14">
        <v>15</v>
      </c>
      <c r="B18" s="57" t="s">
        <v>22</v>
      </c>
      <c r="C18" s="60" t="s">
        <v>23</v>
      </c>
      <c r="D18" s="2" t="s">
        <v>13</v>
      </c>
      <c r="E18" s="2"/>
      <c r="F18" s="15">
        <f>0.2086/2</f>
        <v>0.1043</v>
      </c>
      <c r="G18" s="30">
        <f>F18+F19</f>
        <v>0.2086</v>
      </c>
      <c r="H18" s="35">
        <f>'[2]расчет средней нормы'!$AC$12</f>
        <v>0.31911656709956704</v>
      </c>
      <c r="I18" s="30">
        <f>G18-H18</f>
        <v>-0.11051656709956703</v>
      </c>
    </row>
    <row r="19" spans="1:9" ht="18.75" customHeight="1" hidden="1">
      <c r="A19" s="14">
        <v>16</v>
      </c>
      <c r="B19" s="59"/>
      <c r="C19" s="62"/>
      <c r="D19" s="4" t="s">
        <v>24</v>
      </c>
      <c r="E19" s="2"/>
      <c r="F19" s="15">
        <f>0.2086/2</f>
        <v>0.1043</v>
      </c>
      <c r="G19" s="31"/>
      <c r="H19" s="36"/>
      <c r="I19" s="31"/>
    </row>
    <row r="20" spans="1:9" ht="18.75" customHeight="1" hidden="1">
      <c r="A20" s="14">
        <v>17</v>
      </c>
      <c r="B20" s="57" t="s">
        <v>25</v>
      </c>
      <c r="C20" s="60" t="s">
        <v>26</v>
      </c>
      <c r="D20" s="2" t="s">
        <v>10</v>
      </c>
      <c r="E20" s="2"/>
      <c r="F20" s="15">
        <v>0.312</v>
      </c>
      <c r="G20" s="30">
        <f>F20+F21+F22+F23</f>
        <v>1.221</v>
      </c>
      <c r="H20" s="35">
        <f>'[2]расчет средней нормы'!$AC$15</f>
        <v>1.501565518975656</v>
      </c>
      <c r="I20" s="30">
        <f>G20-H20</f>
        <v>-0.28056551897565596</v>
      </c>
    </row>
    <row r="21" spans="1:9" ht="0.75" customHeight="1" hidden="1">
      <c r="A21" s="14">
        <v>18</v>
      </c>
      <c r="B21" s="58"/>
      <c r="C21" s="61"/>
      <c r="D21" s="2" t="s">
        <v>10</v>
      </c>
      <c r="E21" s="2"/>
      <c r="F21" s="15">
        <v>0.307</v>
      </c>
      <c r="G21" s="41"/>
      <c r="H21" s="43"/>
      <c r="I21" s="41"/>
    </row>
    <row r="22" spans="1:9" ht="18.75" customHeight="1" hidden="1">
      <c r="A22" s="14">
        <v>19</v>
      </c>
      <c r="B22" s="58"/>
      <c r="C22" s="61"/>
      <c r="D22" s="2" t="s">
        <v>10</v>
      </c>
      <c r="E22" s="2"/>
      <c r="F22" s="15">
        <v>0.302</v>
      </c>
      <c r="G22" s="41"/>
      <c r="H22" s="43"/>
      <c r="I22" s="41"/>
    </row>
    <row r="23" spans="1:9" ht="18.75" customHeight="1" hidden="1">
      <c r="A23" s="14">
        <v>20</v>
      </c>
      <c r="B23" s="59"/>
      <c r="C23" s="62"/>
      <c r="D23" s="2" t="s">
        <v>10</v>
      </c>
      <c r="E23" s="2"/>
      <c r="F23" s="15">
        <v>0.3</v>
      </c>
      <c r="G23" s="31"/>
      <c r="H23" s="36"/>
      <c r="I23" s="31"/>
    </row>
    <row r="24" spans="1:9" ht="18.75" customHeight="1" hidden="1">
      <c r="A24" s="14">
        <v>21</v>
      </c>
      <c r="B24" s="57" t="s">
        <v>27</v>
      </c>
      <c r="C24" s="60" t="s">
        <v>28</v>
      </c>
      <c r="D24" s="2" t="s">
        <v>13</v>
      </c>
      <c r="E24" s="2"/>
      <c r="F24" s="15">
        <v>0.28</v>
      </c>
      <c r="G24" s="30">
        <f>F24+F25+F26+F27+F28</f>
        <v>1.5400000000000003</v>
      </c>
      <c r="H24" s="35">
        <f>'[2]расчет средней нормы'!$AC$19</f>
        <v>1.9076010341991343</v>
      </c>
      <c r="I24" s="30">
        <f>G24-H24</f>
        <v>-0.36760103419913404</v>
      </c>
    </row>
    <row r="25" spans="1:9" ht="0.75" customHeight="1" hidden="1">
      <c r="A25" s="14">
        <v>22</v>
      </c>
      <c r="B25" s="58"/>
      <c r="C25" s="61"/>
      <c r="D25" s="2" t="s">
        <v>10</v>
      </c>
      <c r="E25" s="2"/>
      <c r="F25" s="15">
        <v>0.3</v>
      </c>
      <c r="G25" s="41"/>
      <c r="H25" s="43"/>
      <c r="I25" s="41"/>
    </row>
    <row r="26" spans="1:9" ht="18.75" customHeight="1" hidden="1">
      <c r="A26" s="14">
        <v>23</v>
      </c>
      <c r="B26" s="58"/>
      <c r="C26" s="61"/>
      <c r="D26" s="2" t="s">
        <v>10</v>
      </c>
      <c r="E26" s="2"/>
      <c r="F26" s="15">
        <v>0.34</v>
      </c>
      <c r="G26" s="41"/>
      <c r="H26" s="43"/>
      <c r="I26" s="41"/>
    </row>
    <row r="27" spans="1:9" ht="18.75" customHeight="1" hidden="1">
      <c r="A27" s="14">
        <v>24</v>
      </c>
      <c r="B27" s="58"/>
      <c r="C27" s="61"/>
      <c r="D27" s="2" t="s">
        <v>10</v>
      </c>
      <c r="E27" s="2"/>
      <c r="F27" s="15">
        <v>0.32</v>
      </c>
      <c r="G27" s="41"/>
      <c r="H27" s="43"/>
      <c r="I27" s="41"/>
    </row>
    <row r="28" spans="1:9" ht="18.75" customHeight="1" hidden="1">
      <c r="A28" s="14">
        <v>25</v>
      </c>
      <c r="B28" s="59"/>
      <c r="C28" s="62"/>
      <c r="D28" s="2" t="s">
        <v>10</v>
      </c>
      <c r="E28" s="2"/>
      <c r="F28" s="15">
        <v>0.3</v>
      </c>
      <c r="G28" s="31"/>
      <c r="H28" s="36"/>
      <c r="I28" s="31"/>
    </row>
    <row r="29" spans="1:9" ht="18.75" customHeight="1">
      <c r="A29" s="14">
        <v>26</v>
      </c>
      <c r="B29" s="57" t="s">
        <v>29</v>
      </c>
      <c r="C29" s="50" t="s">
        <v>30</v>
      </c>
      <c r="D29" s="2" t="s">
        <v>10</v>
      </c>
      <c r="E29" s="2"/>
      <c r="F29" s="15">
        <f>1/2</f>
        <v>0.5</v>
      </c>
      <c r="G29" s="32">
        <f>F29+F30</f>
        <v>1</v>
      </c>
      <c r="H29" s="35">
        <f>'[2]расчет средней нормы'!$AC$23</f>
        <v>0.5352619999999999</v>
      </c>
      <c r="I29" s="32">
        <f>G29-H29</f>
        <v>0.4647380000000001</v>
      </c>
    </row>
    <row r="30" spans="1:9" ht="18.75" customHeight="1" hidden="1">
      <c r="A30" s="14">
        <v>27</v>
      </c>
      <c r="B30" s="59"/>
      <c r="C30" s="52"/>
      <c r="D30" s="2" t="s">
        <v>10</v>
      </c>
      <c r="E30" s="2"/>
      <c r="F30" s="15">
        <f>1/2</f>
        <v>0.5</v>
      </c>
      <c r="G30" s="34"/>
      <c r="H30" s="36"/>
      <c r="I30" s="34"/>
    </row>
    <row r="31" spans="1:9" ht="18" customHeight="1">
      <c r="A31" s="14">
        <v>28</v>
      </c>
      <c r="B31" s="57" t="s">
        <v>31</v>
      </c>
      <c r="C31" s="60" t="s">
        <v>32</v>
      </c>
      <c r="D31" s="2" t="s">
        <v>33</v>
      </c>
      <c r="E31" s="2"/>
      <c r="F31" s="15">
        <v>0.75</v>
      </c>
      <c r="G31" s="32">
        <f>F31+F32+F33+F34</f>
        <v>2.5</v>
      </c>
      <c r="H31" s="35">
        <f>'[2]расчет средней нормы'!$AC$27</f>
        <v>2.0605745934657596</v>
      </c>
      <c r="I31" s="32">
        <f>G31-H31</f>
        <v>0.43942540653424045</v>
      </c>
    </row>
    <row r="32" spans="1:9" ht="18.75" customHeight="1" hidden="1">
      <c r="A32" s="14">
        <v>29</v>
      </c>
      <c r="B32" s="58"/>
      <c r="C32" s="61"/>
      <c r="D32" s="2" t="s">
        <v>33</v>
      </c>
      <c r="E32" s="2"/>
      <c r="F32" s="15">
        <v>0.6</v>
      </c>
      <c r="G32" s="33"/>
      <c r="H32" s="43"/>
      <c r="I32" s="33"/>
    </row>
    <row r="33" spans="1:9" ht="18.75" customHeight="1" hidden="1">
      <c r="A33" s="14">
        <v>30</v>
      </c>
      <c r="B33" s="58"/>
      <c r="C33" s="61"/>
      <c r="D33" s="2" t="s">
        <v>33</v>
      </c>
      <c r="E33" s="2"/>
      <c r="F33" s="15">
        <v>0.77</v>
      </c>
      <c r="G33" s="33"/>
      <c r="H33" s="43"/>
      <c r="I33" s="33"/>
    </row>
    <row r="34" spans="1:9" ht="18.75" customHeight="1" hidden="1">
      <c r="A34" s="14">
        <v>31</v>
      </c>
      <c r="B34" s="59"/>
      <c r="C34" s="62"/>
      <c r="D34" s="2" t="s">
        <v>34</v>
      </c>
      <c r="E34" s="2"/>
      <c r="F34" s="15">
        <v>0.38</v>
      </c>
      <c r="G34" s="34"/>
      <c r="H34" s="36"/>
      <c r="I34" s="34"/>
    </row>
    <row r="35" spans="1:9" ht="18" customHeight="1">
      <c r="A35" s="14">
        <v>32</v>
      </c>
      <c r="B35" s="57" t="s">
        <v>35</v>
      </c>
      <c r="C35" s="60" t="s">
        <v>36</v>
      </c>
      <c r="D35" s="2" t="s">
        <v>37</v>
      </c>
      <c r="E35" s="2"/>
      <c r="F35" s="15">
        <v>1.22</v>
      </c>
      <c r="G35" s="32">
        <f>F35+F36</f>
        <v>1.9</v>
      </c>
      <c r="H35" s="35">
        <f>'[2]расчет средней нормы'!$AC$32</f>
        <v>1.6735463946992681</v>
      </c>
      <c r="I35" s="32">
        <f>G35-H35</f>
        <v>0.22645360530073178</v>
      </c>
    </row>
    <row r="36" spans="1:9" ht="18.75" customHeight="1" hidden="1">
      <c r="A36" s="14">
        <v>33</v>
      </c>
      <c r="B36" s="59"/>
      <c r="C36" s="62"/>
      <c r="D36" s="2" t="s">
        <v>38</v>
      </c>
      <c r="E36" s="2"/>
      <c r="F36" s="15">
        <v>0.68</v>
      </c>
      <c r="G36" s="34"/>
      <c r="H36" s="36"/>
      <c r="I36" s="34"/>
    </row>
    <row r="37" spans="1:9" ht="16.5" customHeight="1" hidden="1">
      <c r="A37" s="14">
        <v>34</v>
      </c>
      <c r="B37" s="57" t="s">
        <v>39</v>
      </c>
      <c r="C37" s="60" t="s">
        <v>40</v>
      </c>
      <c r="D37" s="2" t="s">
        <v>41</v>
      </c>
      <c r="E37" s="2"/>
      <c r="F37" s="15">
        <v>0.074</v>
      </c>
      <c r="G37" s="32">
        <f>F37+F38</f>
        <v>0.16199999999999998</v>
      </c>
      <c r="H37" s="35">
        <f>'[2]расчет средней нормы'!$AC$33</f>
        <v>0.16643823520923523</v>
      </c>
      <c r="I37" s="32">
        <f>G37-H37</f>
        <v>-0.004438235209235253</v>
      </c>
    </row>
    <row r="38" spans="1:9" ht="18.75" customHeight="1" hidden="1">
      <c r="A38" s="14">
        <v>35</v>
      </c>
      <c r="B38" s="59"/>
      <c r="C38" s="62"/>
      <c r="D38" s="2" t="s">
        <v>41</v>
      </c>
      <c r="E38" s="2"/>
      <c r="F38" s="15">
        <v>0.088</v>
      </c>
      <c r="G38" s="34"/>
      <c r="H38" s="36"/>
      <c r="I38" s="34"/>
    </row>
    <row r="39" spans="1:9" ht="18" customHeight="1" hidden="1">
      <c r="A39" s="14">
        <v>36</v>
      </c>
      <c r="B39" s="57" t="s">
        <v>42</v>
      </c>
      <c r="C39" s="60" t="s">
        <v>43</v>
      </c>
      <c r="D39" s="2" t="s">
        <v>44</v>
      </c>
      <c r="E39" s="2"/>
      <c r="F39" s="15">
        <v>0.13</v>
      </c>
      <c r="G39" s="30">
        <f>F39+F40</f>
        <v>0.30000000000000004</v>
      </c>
      <c r="H39" s="35">
        <f>'[2]расчет средней нормы'!$AC$34</f>
        <v>0.37019362395382394</v>
      </c>
      <c r="I39" s="32">
        <f>G39-H39</f>
        <v>-0.07019362395382389</v>
      </c>
    </row>
    <row r="40" spans="1:9" ht="18.75" customHeight="1" hidden="1">
      <c r="A40" s="14">
        <v>37</v>
      </c>
      <c r="B40" s="59"/>
      <c r="C40" s="62"/>
      <c r="D40" s="4" t="s">
        <v>45</v>
      </c>
      <c r="E40" s="2"/>
      <c r="F40" s="15">
        <v>0.17</v>
      </c>
      <c r="G40" s="31"/>
      <c r="H40" s="36"/>
      <c r="I40" s="34"/>
    </row>
    <row r="41" spans="1:9" ht="15" customHeight="1">
      <c r="A41" s="14">
        <v>38</v>
      </c>
      <c r="B41" s="57" t="s">
        <v>46</v>
      </c>
      <c r="C41" s="64" t="s">
        <v>47</v>
      </c>
      <c r="D41" s="2" t="s">
        <v>48</v>
      </c>
      <c r="E41" s="2"/>
      <c r="F41" s="15">
        <v>0.86008</v>
      </c>
      <c r="G41" s="32">
        <f>F41+F42</f>
        <v>1.72568</v>
      </c>
      <c r="H41" s="35">
        <f>'[2]расчет средней нормы'!$AC$37</f>
        <v>0.25715000793650794</v>
      </c>
      <c r="I41" s="32">
        <f>G41-H41</f>
        <v>1.4685299920634922</v>
      </c>
    </row>
    <row r="42" spans="1:9" ht="18.75" customHeight="1" hidden="1">
      <c r="A42" s="14">
        <v>39</v>
      </c>
      <c r="B42" s="59"/>
      <c r="C42" s="65"/>
      <c r="D42" s="2" t="s">
        <v>48</v>
      </c>
      <c r="E42" s="2"/>
      <c r="F42" s="15">
        <v>0.8656</v>
      </c>
      <c r="G42" s="34"/>
      <c r="H42" s="36"/>
      <c r="I42" s="34"/>
    </row>
    <row r="43" spans="1:9" ht="15.75" customHeight="1" hidden="1">
      <c r="A43" s="14">
        <v>40</v>
      </c>
      <c r="B43" s="57" t="s">
        <v>49</v>
      </c>
      <c r="C43" s="47" t="s">
        <v>50</v>
      </c>
      <c r="D43" s="4" t="s">
        <v>51</v>
      </c>
      <c r="E43" s="2"/>
      <c r="F43" s="16">
        <v>0.072</v>
      </c>
      <c r="G43" s="32">
        <f>F43+F44</f>
        <v>0.143</v>
      </c>
      <c r="H43" s="35">
        <f>'[2]расчет средней нормы'!$AC$50</f>
        <v>0.14547433708513707</v>
      </c>
      <c r="I43" s="32">
        <f>G43-H43</f>
        <v>-0.002474337085137085</v>
      </c>
    </row>
    <row r="44" spans="1:9" ht="18.75" customHeight="1" hidden="1">
      <c r="A44" s="14">
        <v>41</v>
      </c>
      <c r="B44" s="59"/>
      <c r="C44" s="59"/>
      <c r="D44" s="4" t="s">
        <v>51</v>
      </c>
      <c r="E44" s="2"/>
      <c r="F44" s="16">
        <v>0.071</v>
      </c>
      <c r="G44" s="34"/>
      <c r="H44" s="36"/>
      <c r="I44" s="34"/>
    </row>
    <row r="45" spans="1:9" ht="18.75" customHeight="1" hidden="1">
      <c r="A45" s="14">
        <v>42</v>
      </c>
      <c r="B45" s="2" t="s">
        <v>52</v>
      </c>
      <c r="C45" s="6" t="s">
        <v>53</v>
      </c>
      <c r="D45" s="2" t="s">
        <v>44</v>
      </c>
      <c r="E45" s="2"/>
      <c r="F45" s="16">
        <f>173.82/1.16/1000</f>
        <v>0.1498448275862069</v>
      </c>
      <c r="G45" s="7">
        <f>F45</f>
        <v>0.1498448275862069</v>
      </c>
      <c r="H45" s="17">
        <f>'[2]расчет средней нормы'!$AC$43</f>
        <v>0.154227</v>
      </c>
      <c r="I45" s="7">
        <f>G45-H45</f>
        <v>-0.004382172413793101</v>
      </c>
    </row>
    <row r="46" spans="1:9" ht="28.5" customHeight="1" hidden="1">
      <c r="A46" s="14">
        <v>43</v>
      </c>
      <c r="B46" s="57" t="s">
        <v>54</v>
      </c>
      <c r="C46" s="60" t="s">
        <v>55</v>
      </c>
      <c r="D46" s="2" t="s">
        <v>56</v>
      </c>
      <c r="E46" s="2"/>
      <c r="F46" s="15">
        <v>0.032</v>
      </c>
      <c r="G46" s="30">
        <f>F46+F47</f>
        <v>0.064</v>
      </c>
      <c r="H46" s="35">
        <f>'[2]расчет средней нормы'!$AC$63</f>
        <v>0.07345354112554113</v>
      </c>
      <c r="I46" s="30">
        <f>G46-H46</f>
        <v>-0.009453541125541129</v>
      </c>
    </row>
    <row r="47" spans="1:9" ht="18.75" customHeight="1" hidden="1">
      <c r="A47" s="14">
        <v>44</v>
      </c>
      <c r="B47" s="59"/>
      <c r="C47" s="62"/>
      <c r="D47" s="2" t="s">
        <v>56</v>
      </c>
      <c r="E47" s="2"/>
      <c r="F47" s="15">
        <v>0.032</v>
      </c>
      <c r="G47" s="31"/>
      <c r="H47" s="36"/>
      <c r="I47" s="31"/>
    </row>
    <row r="48" spans="1:9" ht="18.75" customHeight="1">
      <c r="A48" s="14">
        <v>45</v>
      </c>
      <c r="B48" s="57" t="s">
        <v>57</v>
      </c>
      <c r="C48" s="60" t="s">
        <v>58</v>
      </c>
      <c r="D48" s="2" t="s">
        <v>59</v>
      </c>
      <c r="E48" s="2"/>
      <c r="F48" s="15">
        <v>0.27</v>
      </c>
      <c r="G48" s="32">
        <f>F48+F49</f>
        <v>0.54</v>
      </c>
      <c r="H48" s="35">
        <f>'[2]расчет средней нормы'!$AC$48</f>
        <v>0.387668606060606</v>
      </c>
      <c r="I48" s="30">
        <f>G48-H48</f>
        <v>0.15233139393939404</v>
      </c>
    </row>
    <row r="49" spans="1:9" ht="0.75" customHeight="1">
      <c r="A49" s="14">
        <v>46</v>
      </c>
      <c r="B49" s="59"/>
      <c r="C49" s="62"/>
      <c r="D49" s="2" t="s">
        <v>59</v>
      </c>
      <c r="E49" s="2"/>
      <c r="F49" s="15">
        <v>0.27</v>
      </c>
      <c r="G49" s="34"/>
      <c r="H49" s="36"/>
      <c r="I49" s="31"/>
    </row>
    <row r="50" spans="1:9" ht="18.75" customHeight="1">
      <c r="A50" s="14">
        <v>47</v>
      </c>
      <c r="B50" s="57" t="s">
        <v>60</v>
      </c>
      <c r="C50" s="50" t="s">
        <v>61</v>
      </c>
      <c r="D50" s="2" t="s">
        <v>62</v>
      </c>
      <c r="E50" s="2"/>
      <c r="F50" s="15">
        <v>0.267</v>
      </c>
      <c r="G50" s="32">
        <f>F50+F51</f>
        <v>0.517</v>
      </c>
      <c r="H50" s="35">
        <f>'[2]расчет средней нормы'!$AC$44</f>
        <v>0.4032713425685426</v>
      </c>
      <c r="I50" s="30">
        <f>G50-H50</f>
        <v>0.11372865743145744</v>
      </c>
    </row>
    <row r="51" spans="1:9" ht="0.75" customHeight="1">
      <c r="A51" s="14">
        <v>48</v>
      </c>
      <c r="B51" s="59"/>
      <c r="C51" s="52"/>
      <c r="D51" s="2" t="s">
        <v>62</v>
      </c>
      <c r="E51" s="2"/>
      <c r="F51" s="15">
        <v>0.25</v>
      </c>
      <c r="G51" s="34"/>
      <c r="H51" s="36"/>
      <c r="I51" s="31"/>
    </row>
    <row r="52" spans="1:9" ht="17.25" customHeight="1">
      <c r="A52" s="14">
        <v>49</v>
      </c>
      <c r="B52" s="57" t="s">
        <v>63</v>
      </c>
      <c r="C52" s="50" t="s">
        <v>64</v>
      </c>
      <c r="D52" s="2" t="s">
        <v>62</v>
      </c>
      <c r="E52" s="2"/>
      <c r="F52" s="15">
        <v>0.22</v>
      </c>
      <c r="G52" s="32">
        <f>F52+F53</f>
        <v>0.45999999999999996</v>
      </c>
      <c r="H52" s="35">
        <f>'[2]расчет средней нормы'!$AC$45</f>
        <v>0.14434554184704185</v>
      </c>
      <c r="I52" s="30">
        <f>G52-H52</f>
        <v>0.3156544581529581</v>
      </c>
    </row>
    <row r="53" spans="1:9" ht="1.5" customHeight="1">
      <c r="A53" s="14">
        <v>50</v>
      </c>
      <c r="B53" s="59"/>
      <c r="C53" s="52"/>
      <c r="D53" s="2" t="s">
        <v>62</v>
      </c>
      <c r="E53" s="2"/>
      <c r="F53" s="15">
        <v>0.24</v>
      </c>
      <c r="G53" s="34"/>
      <c r="H53" s="36"/>
      <c r="I53" s="31"/>
    </row>
    <row r="54" spans="1:9" ht="20.25" customHeight="1">
      <c r="A54" s="14">
        <v>51</v>
      </c>
      <c r="B54" s="57" t="s">
        <v>65</v>
      </c>
      <c r="C54" s="50" t="s">
        <v>66</v>
      </c>
      <c r="D54" s="2" t="s">
        <v>62</v>
      </c>
      <c r="E54" s="2"/>
      <c r="F54" s="15">
        <v>0.273</v>
      </c>
      <c r="G54" s="32">
        <f>F54+F55</f>
        <v>0.52</v>
      </c>
      <c r="H54" s="35">
        <f>'[2]расчет средней нормы'!$AC$46</f>
        <v>0.13290281024531025</v>
      </c>
      <c r="I54" s="30">
        <f>G54-H54</f>
        <v>0.38709718975468976</v>
      </c>
    </row>
    <row r="55" spans="1:9" ht="15" customHeight="1" hidden="1">
      <c r="A55" s="14">
        <v>52</v>
      </c>
      <c r="B55" s="59"/>
      <c r="C55" s="52"/>
      <c r="D55" s="2" t="s">
        <v>62</v>
      </c>
      <c r="E55" s="2"/>
      <c r="F55" s="15">
        <v>0.247</v>
      </c>
      <c r="G55" s="34"/>
      <c r="H55" s="36"/>
      <c r="I55" s="31"/>
    </row>
    <row r="56" spans="1:9" ht="18" customHeight="1">
      <c r="A56" s="14">
        <v>53</v>
      </c>
      <c r="B56" s="57" t="s">
        <v>67</v>
      </c>
      <c r="C56" s="60" t="s">
        <v>68</v>
      </c>
      <c r="D56" s="4" t="s">
        <v>69</v>
      </c>
      <c r="E56" s="2"/>
      <c r="F56" s="8">
        <f>0.077/1.16</f>
        <v>0.0663793103448276</v>
      </c>
      <c r="G56" s="32">
        <f>F56+F57</f>
        <v>0.1327586206896552</v>
      </c>
      <c r="H56" s="35">
        <f>'[2]расчет средней нормы'!$AC$41</f>
        <v>0.1255387005772006</v>
      </c>
      <c r="I56" s="30">
        <f>G56-H56</f>
        <v>0.007219920112454592</v>
      </c>
    </row>
    <row r="57" spans="1:9" ht="0.75" customHeight="1">
      <c r="A57" s="14">
        <v>54</v>
      </c>
      <c r="B57" s="59"/>
      <c r="C57" s="62"/>
      <c r="D57" s="4" t="s">
        <v>69</v>
      </c>
      <c r="E57" s="2"/>
      <c r="F57" s="8">
        <f>0.077/1.16</f>
        <v>0.0663793103448276</v>
      </c>
      <c r="G57" s="34"/>
      <c r="H57" s="36"/>
      <c r="I57" s="31"/>
    </row>
    <row r="58" spans="1:9" s="19" customFormat="1" ht="17.25" customHeight="1">
      <c r="A58" s="18">
        <v>55</v>
      </c>
      <c r="B58" s="57" t="s">
        <v>70</v>
      </c>
      <c r="C58" s="60" t="s">
        <v>71</v>
      </c>
      <c r="D58" s="2" t="s">
        <v>72</v>
      </c>
      <c r="E58" s="2"/>
      <c r="F58" s="8">
        <v>0.4431</v>
      </c>
      <c r="G58" s="30">
        <f>F58+F59+F60+F61</f>
        <v>1.7724</v>
      </c>
      <c r="H58" s="35">
        <f>'[2]расчет средней нормы'!$AC$75</f>
        <v>1.2657070346320347</v>
      </c>
      <c r="I58" s="30">
        <f>G58-H58</f>
        <v>0.5066929653679653</v>
      </c>
    </row>
    <row r="59" spans="1:9" s="19" customFormat="1" ht="13.5" customHeight="1">
      <c r="A59" s="18">
        <v>56</v>
      </c>
      <c r="B59" s="58"/>
      <c r="C59" s="61"/>
      <c r="D59" s="2" t="s">
        <v>72</v>
      </c>
      <c r="E59" s="2"/>
      <c r="F59" s="8">
        <v>0.4431</v>
      </c>
      <c r="G59" s="41"/>
      <c r="H59" s="43"/>
      <c r="I59" s="41"/>
    </row>
    <row r="60" spans="1:9" s="19" customFormat="1" ht="18.75" customHeight="1" hidden="1">
      <c r="A60" s="18">
        <v>57</v>
      </c>
      <c r="B60" s="58"/>
      <c r="C60" s="61"/>
      <c r="D60" s="2" t="s">
        <v>72</v>
      </c>
      <c r="E60" s="2"/>
      <c r="F60" s="8">
        <v>0.4431</v>
      </c>
      <c r="G60" s="41"/>
      <c r="H60" s="43"/>
      <c r="I60" s="41"/>
    </row>
    <row r="61" spans="1:9" s="19" customFormat="1" ht="18.75" customHeight="1" hidden="1">
      <c r="A61" s="18">
        <v>58</v>
      </c>
      <c r="B61" s="59"/>
      <c r="C61" s="62"/>
      <c r="D61" s="2" t="s">
        <v>72</v>
      </c>
      <c r="E61" s="2"/>
      <c r="F61" s="8">
        <v>0.4431</v>
      </c>
      <c r="G61" s="31"/>
      <c r="H61" s="36"/>
      <c r="I61" s="31"/>
    </row>
    <row r="62" spans="1:9" s="19" customFormat="1" ht="13.5" customHeight="1">
      <c r="A62" s="18">
        <v>59</v>
      </c>
      <c r="B62" s="57" t="s">
        <v>73</v>
      </c>
      <c r="C62" s="50" t="s">
        <v>74</v>
      </c>
      <c r="D62" s="2" t="s">
        <v>75</v>
      </c>
      <c r="E62" s="2"/>
      <c r="F62" s="8">
        <f>0.561207/2</f>
        <v>0.2806035</v>
      </c>
      <c r="G62" s="30">
        <f>F62+F63</f>
        <v>0.561207</v>
      </c>
      <c r="H62" s="35">
        <f>'[2]расчет средней нормы'!$AC$72</f>
        <v>0.31874926406926407</v>
      </c>
      <c r="I62" s="30">
        <f>G62-H62</f>
        <v>0.24245773593073594</v>
      </c>
    </row>
    <row r="63" spans="1:9" s="19" customFormat="1" ht="18.75" customHeight="1" hidden="1">
      <c r="A63" s="18">
        <v>60</v>
      </c>
      <c r="B63" s="59"/>
      <c r="C63" s="52"/>
      <c r="D63" s="2" t="s">
        <v>72</v>
      </c>
      <c r="E63" s="2"/>
      <c r="F63" s="8">
        <f>0.561207/2</f>
        <v>0.2806035</v>
      </c>
      <c r="G63" s="31"/>
      <c r="H63" s="36"/>
      <c r="I63" s="31"/>
    </row>
    <row r="64" spans="1:9" ht="16.5" customHeight="1">
      <c r="A64" s="14">
        <v>61</v>
      </c>
      <c r="B64" s="47" t="s">
        <v>76</v>
      </c>
      <c r="C64" s="60" t="s">
        <v>77</v>
      </c>
      <c r="D64" s="2" t="s">
        <v>78</v>
      </c>
      <c r="E64" s="2"/>
      <c r="F64" s="15">
        <v>0.26</v>
      </c>
      <c r="G64" s="32">
        <f>F64+F65</f>
        <v>0.52</v>
      </c>
      <c r="H64" s="35">
        <f>'[2]расчет средней нормы'!$AC$49</f>
        <v>0.4048629524531025</v>
      </c>
      <c r="I64" s="30">
        <f>G64-H64</f>
        <v>0.11513704754689752</v>
      </c>
    </row>
    <row r="65" spans="1:9" ht="18.75" customHeight="1" hidden="1">
      <c r="A65" s="14">
        <v>62</v>
      </c>
      <c r="B65" s="59"/>
      <c r="C65" s="62"/>
      <c r="D65" s="2" t="s">
        <v>78</v>
      </c>
      <c r="E65" s="2"/>
      <c r="F65" s="15">
        <v>0.26</v>
      </c>
      <c r="G65" s="34"/>
      <c r="H65" s="36"/>
      <c r="I65" s="31"/>
    </row>
    <row r="66" spans="1:9" s="19" customFormat="1" ht="15.75" customHeight="1">
      <c r="A66" s="18">
        <v>63</v>
      </c>
      <c r="B66" s="57" t="s">
        <v>79</v>
      </c>
      <c r="C66" s="50" t="s">
        <v>80</v>
      </c>
      <c r="D66" s="2" t="s">
        <v>81</v>
      </c>
      <c r="E66" s="2"/>
      <c r="F66" s="8">
        <v>0.34</v>
      </c>
      <c r="G66" s="30">
        <f>F66+F67</f>
        <v>0.68</v>
      </c>
      <c r="H66" s="35">
        <f>'[2]расчет средней нормы'!$AC$70</f>
        <v>0.6465811645021645</v>
      </c>
      <c r="I66" s="30">
        <f>G66-H66</f>
        <v>0.03341883549783553</v>
      </c>
    </row>
    <row r="67" spans="1:9" s="19" customFormat="1" ht="18.75" customHeight="1" hidden="1">
      <c r="A67" s="18">
        <v>64</v>
      </c>
      <c r="B67" s="59"/>
      <c r="C67" s="52"/>
      <c r="D67" s="2" t="s">
        <v>81</v>
      </c>
      <c r="E67" s="2"/>
      <c r="F67" s="8">
        <v>0.34</v>
      </c>
      <c r="G67" s="41"/>
      <c r="H67" s="36"/>
      <c r="I67" s="31"/>
    </row>
    <row r="68" spans="1:9" ht="29.25" customHeight="1" hidden="1">
      <c r="A68" s="14">
        <v>65</v>
      </c>
      <c r="B68" s="57" t="s">
        <v>82</v>
      </c>
      <c r="C68" s="50" t="s">
        <v>83</v>
      </c>
      <c r="D68" s="2" t="s">
        <v>44</v>
      </c>
      <c r="E68" s="2"/>
      <c r="F68" s="15">
        <v>0.1379</v>
      </c>
      <c r="G68" s="30">
        <f>F68+F69</f>
        <v>0.27583103448275864</v>
      </c>
      <c r="H68" s="66">
        <f>'[2]расчет средней нормы'!$AC$61</f>
        <v>0.32052078447046445</v>
      </c>
      <c r="I68" s="30">
        <f>G68-H68</f>
        <v>-0.04468974998770581</v>
      </c>
    </row>
    <row r="69" spans="1:9" ht="18.75" customHeight="1" hidden="1">
      <c r="A69" s="14">
        <v>66</v>
      </c>
      <c r="B69" s="59"/>
      <c r="C69" s="52"/>
      <c r="D69" s="2" t="s">
        <v>44</v>
      </c>
      <c r="E69" s="2"/>
      <c r="F69" s="15">
        <f>0.16/1.16</f>
        <v>0.13793103448275865</v>
      </c>
      <c r="G69" s="31"/>
      <c r="H69" s="67"/>
      <c r="I69" s="31"/>
    </row>
    <row r="70" spans="1:9" ht="21" customHeight="1">
      <c r="A70" s="14">
        <v>67</v>
      </c>
      <c r="B70" s="57" t="s">
        <v>84</v>
      </c>
      <c r="C70" s="50" t="s">
        <v>85</v>
      </c>
      <c r="D70" s="2" t="s">
        <v>86</v>
      </c>
      <c r="E70" s="2"/>
      <c r="F70" s="15">
        <f>1945/1.16/1000</f>
        <v>1.6767241379310347</v>
      </c>
      <c r="G70" s="32">
        <f>F70+F71</f>
        <v>2.477586206896552</v>
      </c>
      <c r="H70" s="35">
        <f>'[2]расчет средней нормы'!$AC$62</f>
        <v>2.106221492457331</v>
      </c>
      <c r="I70" s="30">
        <f>G70-H70</f>
        <v>0.3713647144392209</v>
      </c>
    </row>
    <row r="71" spans="1:9" ht="18.75" customHeight="1" hidden="1">
      <c r="A71" s="14">
        <v>68</v>
      </c>
      <c r="B71" s="59"/>
      <c r="C71" s="52"/>
      <c r="D71" s="2" t="s">
        <v>87</v>
      </c>
      <c r="E71" s="2"/>
      <c r="F71" s="15">
        <f>929/1.16/1000</f>
        <v>0.8008620689655174</v>
      </c>
      <c r="G71" s="34"/>
      <c r="H71" s="36"/>
      <c r="I71" s="31"/>
    </row>
    <row r="72" spans="1:9" ht="16.5" customHeight="1">
      <c r="A72" s="14">
        <v>69</v>
      </c>
      <c r="B72" s="57" t="s">
        <v>88</v>
      </c>
      <c r="C72" s="50" t="s">
        <v>89</v>
      </c>
      <c r="D72" s="2" t="s">
        <v>90</v>
      </c>
      <c r="E72" s="2"/>
      <c r="F72" s="15">
        <f>0.687931/2</f>
        <v>0.3439655</v>
      </c>
      <c r="G72" s="32">
        <f>F72+F73</f>
        <v>0.687931</v>
      </c>
      <c r="H72" s="35">
        <f>'[2]расчет средней нормы'!$AC$74</f>
        <v>0.1562215367965368</v>
      </c>
      <c r="I72" s="30">
        <f>G72-H72</f>
        <v>0.5317094632034631</v>
      </c>
    </row>
    <row r="73" spans="1:9" ht="18.75" customHeight="1" hidden="1">
      <c r="A73" s="14">
        <v>70</v>
      </c>
      <c r="B73" s="58"/>
      <c r="C73" s="52"/>
      <c r="D73" s="2" t="s">
        <v>90</v>
      </c>
      <c r="E73" s="2"/>
      <c r="F73" s="15">
        <f>0.687931/2</f>
        <v>0.3439655</v>
      </c>
      <c r="G73" s="33"/>
      <c r="H73" s="43"/>
      <c r="I73" s="31"/>
    </row>
    <row r="74" spans="1:9" ht="15.75" customHeight="1">
      <c r="A74" s="14">
        <v>71</v>
      </c>
      <c r="B74" s="57" t="s">
        <v>91</v>
      </c>
      <c r="C74" s="50" t="s">
        <v>92</v>
      </c>
      <c r="D74" s="2" t="s">
        <v>81</v>
      </c>
      <c r="E74" s="2"/>
      <c r="F74" s="15">
        <v>0.862</v>
      </c>
      <c r="G74" s="32">
        <f>F74+F75</f>
        <v>1.724</v>
      </c>
      <c r="H74" s="35">
        <f>'[2]расчет средней нормы'!$AC$73</f>
        <v>0.9593321515151515</v>
      </c>
      <c r="I74" s="30">
        <f>G74-H74</f>
        <v>0.7646678484848485</v>
      </c>
    </row>
    <row r="75" spans="1:9" ht="18.75" customHeight="1" hidden="1">
      <c r="A75" s="14">
        <v>72</v>
      </c>
      <c r="B75" s="58"/>
      <c r="C75" s="52"/>
      <c r="D75" s="2" t="s">
        <v>81</v>
      </c>
      <c r="E75" s="2"/>
      <c r="F75" s="15">
        <v>0.862</v>
      </c>
      <c r="G75" s="33"/>
      <c r="H75" s="43"/>
      <c r="I75" s="31"/>
    </row>
    <row r="76" spans="1:9" ht="18.75" customHeight="1">
      <c r="A76" s="14">
        <v>73</v>
      </c>
      <c r="B76" s="57" t="s">
        <v>93</v>
      </c>
      <c r="C76" s="64" t="s">
        <v>94</v>
      </c>
      <c r="D76" s="2" t="s">
        <v>95</v>
      </c>
      <c r="E76" s="2"/>
      <c r="F76" s="15">
        <v>0.171</v>
      </c>
      <c r="G76" s="32">
        <f>F76+F77</f>
        <v>0.515</v>
      </c>
      <c r="H76" s="35">
        <f>'[2]расчет средней нормы'!$AC$58</f>
        <v>0.281696943001443</v>
      </c>
      <c r="I76" s="30">
        <f>G76-H76</f>
        <v>0.23330305699855702</v>
      </c>
    </row>
    <row r="77" spans="1:9" ht="0.75" customHeight="1">
      <c r="A77" s="14">
        <v>74</v>
      </c>
      <c r="B77" s="59"/>
      <c r="C77" s="65"/>
      <c r="D77" s="2" t="s">
        <v>96</v>
      </c>
      <c r="E77" s="2"/>
      <c r="F77" s="15">
        <v>0.344</v>
      </c>
      <c r="G77" s="34"/>
      <c r="H77" s="36"/>
      <c r="I77" s="31"/>
    </row>
    <row r="78" spans="1:9" ht="14.25" customHeight="1">
      <c r="A78" s="14">
        <v>75</v>
      </c>
      <c r="B78" s="57" t="s">
        <v>97</v>
      </c>
      <c r="C78" s="60" t="s">
        <v>98</v>
      </c>
      <c r="D78" s="2" t="s">
        <v>99</v>
      </c>
      <c r="E78" s="2"/>
      <c r="F78" s="15">
        <v>0.68</v>
      </c>
      <c r="G78" s="32">
        <f>F78+F79</f>
        <v>1.106</v>
      </c>
      <c r="H78" s="35">
        <f>'[2]расчет средней нормы'!$AC$54</f>
        <v>0.588976468843117</v>
      </c>
      <c r="I78" s="30">
        <f>G78-H78</f>
        <v>0.517023531156883</v>
      </c>
    </row>
    <row r="79" spans="1:9" ht="0.75" customHeight="1">
      <c r="A79" s="14">
        <v>76</v>
      </c>
      <c r="B79" s="59"/>
      <c r="C79" s="62"/>
      <c r="D79" s="2" t="s">
        <v>100</v>
      </c>
      <c r="E79" s="2"/>
      <c r="F79" s="15">
        <f>0.426</f>
        <v>0.426</v>
      </c>
      <c r="G79" s="34"/>
      <c r="H79" s="36"/>
      <c r="I79" s="31"/>
    </row>
    <row r="80" spans="1:9" ht="17.25" customHeight="1">
      <c r="A80" s="14">
        <v>77</v>
      </c>
      <c r="B80" s="57" t="s">
        <v>101</v>
      </c>
      <c r="C80" s="60" t="s">
        <v>102</v>
      </c>
      <c r="D80" s="2" t="s">
        <v>103</v>
      </c>
      <c r="E80" s="2"/>
      <c r="F80" s="15">
        <f>2.1</f>
        <v>2.1</v>
      </c>
      <c r="G80" s="32">
        <f>F80+F81+F82+F83</f>
        <v>7.4655172413793105</v>
      </c>
      <c r="H80" s="35">
        <f>'[2]расчет средней нормы'!$AC$13</f>
        <v>4.537651249952162</v>
      </c>
      <c r="I80" s="32">
        <f>G80-H80</f>
        <v>2.927865991427148</v>
      </c>
    </row>
    <row r="81" spans="1:9" ht="0.75" customHeight="1" hidden="1">
      <c r="A81" s="14">
        <v>78</v>
      </c>
      <c r="B81" s="58"/>
      <c r="C81" s="61"/>
      <c r="D81" s="2" t="s">
        <v>103</v>
      </c>
      <c r="E81" s="2"/>
      <c r="F81" s="15">
        <v>2</v>
      </c>
      <c r="G81" s="33"/>
      <c r="H81" s="43"/>
      <c r="I81" s="33"/>
    </row>
    <row r="82" spans="1:9" ht="18.75" customHeight="1" hidden="1">
      <c r="A82" s="14">
        <v>79</v>
      </c>
      <c r="B82" s="58"/>
      <c r="C82" s="61"/>
      <c r="D82" s="2" t="s">
        <v>103</v>
      </c>
      <c r="E82" s="2"/>
      <c r="F82" s="15">
        <v>1.9</v>
      </c>
      <c r="G82" s="33"/>
      <c r="H82" s="43"/>
      <c r="I82" s="33"/>
    </row>
    <row r="83" spans="1:9" ht="18.75" customHeight="1" hidden="1">
      <c r="A83" s="14">
        <v>80</v>
      </c>
      <c r="B83" s="59"/>
      <c r="C83" s="62"/>
      <c r="D83" s="2" t="s">
        <v>87</v>
      </c>
      <c r="E83" s="2"/>
      <c r="F83" s="15">
        <f>1.7/1.16</f>
        <v>1.4655172413793105</v>
      </c>
      <c r="G83" s="34"/>
      <c r="H83" s="36"/>
      <c r="I83" s="34"/>
    </row>
    <row r="84" spans="1:9" ht="18" customHeight="1" hidden="1">
      <c r="A84" s="14">
        <v>81</v>
      </c>
      <c r="B84" s="57" t="s">
        <v>177</v>
      </c>
      <c r="C84" s="60" t="s">
        <v>178</v>
      </c>
      <c r="D84" s="2" t="s">
        <v>19</v>
      </c>
      <c r="E84" s="2"/>
      <c r="F84" s="8">
        <v>0.5013</v>
      </c>
      <c r="G84" s="32">
        <f>F84+F85+F86+F87+F88+F89</f>
        <v>3.1041999999999996</v>
      </c>
      <c r="H84" s="35">
        <f>'[2]расчет средней нормы'!$AC$17</f>
        <v>3.3389041398086374</v>
      </c>
      <c r="I84" s="32">
        <f>G84-H84</f>
        <v>-0.2347041398086378</v>
      </c>
    </row>
    <row r="85" spans="1:9" ht="18.75" customHeight="1" hidden="1">
      <c r="A85" s="14">
        <v>82</v>
      </c>
      <c r="B85" s="58"/>
      <c r="C85" s="61"/>
      <c r="D85" s="2" t="s">
        <v>19</v>
      </c>
      <c r="E85" s="2"/>
      <c r="F85" s="8">
        <v>0.5221</v>
      </c>
      <c r="G85" s="33"/>
      <c r="H85" s="43"/>
      <c r="I85" s="33"/>
    </row>
    <row r="86" spans="1:9" ht="18.75" customHeight="1" hidden="1">
      <c r="A86" s="14">
        <v>83</v>
      </c>
      <c r="B86" s="58"/>
      <c r="C86" s="61"/>
      <c r="D86" s="2" t="s">
        <v>19</v>
      </c>
      <c r="E86" s="2"/>
      <c r="F86" s="8">
        <v>0.4682</v>
      </c>
      <c r="G86" s="33"/>
      <c r="H86" s="43"/>
      <c r="I86" s="33"/>
    </row>
    <row r="87" spans="1:9" ht="18.75" customHeight="1" hidden="1">
      <c r="A87" s="14">
        <v>84</v>
      </c>
      <c r="B87" s="58"/>
      <c r="C87" s="61"/>
      <c r="D87" s="2" t="s">
        <v>19</v>
      </c>
      <c r="E87" s="2"/>
      <c r="F87" s="8">
        <v>0.6098</v>
      </c>
      <c r="G87" s="33"/>
      <c r="H87" s="43"/>
      <c r="I87" s="33"/>
    </row>
    <row r="88" spans="1:9" ht="18.75" customHeight="1" hidden="1">
      <c r="A88" s="14">
        <v>85</v>
      </c>
      <c r="B88" s="58"/>
      <c r="C88" s="61"/>
      <c r="D88" s="2" t="s">
        <v>19</v>
      </c>
      <c r="E88" s="2"/>
      <c r="F88" s="8">
        <v>0.4789</v>
      </c>
      <c r="G88" s="33"/>
      <c r="H88" s="43"/>
      <c r="I88" s="33"/>
    </row>
    <row r="89" spans="1:9" ht="18.75" customHeight="1" hidden="1">
      <c r="A89" s="14">
        <v>86</v>
      </c>
      <c r="B89" s="59"/>
      <c r="C89" s="62"/>
      <c r="D89" s="2" t="s">
        <v>20</v>
      </c>
      <c r="E89" s="2"/>
      <c r="F89" s="8">
        <v>0.5239</v>
      </c>
      <c r="G89" s="34"/>
      <c r="H89" s="36"/>
      <c r="I89" s="34"/>
    </row>
    <row r="90" spans="1:9" ht="20.25" customHeight="1">
      <c r="A90" s="14">
        <v>87</v>
      </c>
      <c r="B90" s="57" t="s">
        <v>104</v>
      </c>
      <c r="C90" s="60" t="s">
        <v>105</v>
      </c>
      <c r="D90" s="2" t="s">
        <v>19</v>
      </c>
      <c r="E90" s="2"/>
      <c r="F90" s="8">
        <f>0.54</f>
        <v>0.54</v>
      </c>
      <c r="G90" s="32">
        <f>F90+F91+F92+F93+F94+F95+F96+F97</f>
        <v>4.7758</v>
      </c>
      <c r="H90" s="35">
        <f>'[2]расчет средней нормы'!$AC$18</f>
        <v>4.211284966523543</v>
      </c>
      <c r="I90" s="32">
        <f>G90-H90</f>
        <v>0.5645150334764573</v>
      </c>
    </row>
    <row r="91" spans="1:9" ht="0.75" customHeight="1" hidden="1">
      <c r="A91" s="14">
        <v>88</v>
      </c>
      <c r="B91" s="58"/>
      <c r="C91" s="61"/>
      <c r="D91" s="2" t="s">
        <v>19</v>
      </c>
      <c r="E91" s="2"/>
      <c r="F91" s="15">
        <v>0.55</v>
      </c>
      <c r="G91" s="33"/>
      <c r="H91" s="43"/>
      <c r="I91" s="33"/>
    </row>
    <row r="92" spans="1:9" ht="18.75" customHeight="1" hidden="1">
      <c r="A92" s="14">
        <v>89</v>
      </c>
      <c r="B92" s="58"/>
      <c r="C92" s="61"/>
      <c r="D92" s="2" t="s">
        <v>19</v>
      </c>
      <c r="E92" s="2"/>
      <c r="F92" s="8">
        <v>0.6143</v>
      </c>
      <c r="G92" s="33"/>
      <c r="H92" s="43"/>
      <c r="I92" s="33"/>
    </row>
    <row r="93" spans="1:9" ht="18.75" customHeight="1" hidden="1">
      <c r="A93" s="14">
        <v>90</v>
      </c>
      <c r="B93" s="58"/>
      <c r="C93" s="61"/>
      <c r="D93" s="2" t="s">
        <v>19</v>
      </c>
      <c r="E93" s="2"/>
      <c r="F93" s="8">
        <v>0.6143</v>
      </c>
      <c r="G93" s="33"/>
      <c r="H93" s="43"/>
      <c r="I93" s="33"/>
    </row>
    <row r="94" spans="1:9" ht="18.75" customHeight="1" hidden="1">
      <c r="A94" s="14">
        <v>91</v>
      </c>
      <c r="B94" s="58"/>
      <c r="C94" s="61"/>
      <c r="D94" s="2" t="s">
        <v>19</v>
      </c>
      <c r="E94" s="2"/>
      <c r="F94" s="8">
        <v>0.6143</v>
      </c>
      <c r="G94" s="33"/>
      <c r="H94" s="43"/>
      <c r="I94" s="33"/>
    </row>
    <row r="95" spans="1:9" ht="18.75" customHeight="1" hidden="1">
      <c r="A95" s="14">
        <v>92</v>
      </c>
      <c r="B95" s="58"/>
      <c r="C95" s="61"/>
      <c r="D95" s="2" t="s">
        <v>19</v>
      </c>
      <c r="E95" s="2"/>
      <c r="F95" s="8">
        <v>0.6143</v>
      </c>
      <c r="G95" s="33"/>
      <c r="H95" s="43"/>
      <c r="I95" s="33"/>
    </row>
    <row r="96" spans="1:9" ht="18.75" customHeight="1" hidden="1">
      <c r="A96" s="14">
        <v>93</v>
      </c>
      <c r="B96" s="58"/>
      <c r="C96" s="61"/>
      <c r="D96" s="2" t="s">
        <v>19</v>
      </c>
      <c r="E96" s="2"/>
      <c r="F96" s="8">
        <v>0.6143</v>
      </c>
      <c r="G96" s="33"/>
      <c r="H96" s="43"/>
      <c r="I96" s="33"/>
    </row>
    <row r="97" spans="1:9" ht="18.75" customHeight="1" hidden="1">
      <c r="A97" s="14">
        <v>94</v>
      </c>
      <c r="B97" s="59"/>
      <c r="C97" s="62"/>
      <c r="D97" s="2" t="s">
        <v>19</v>
      </c>
      <c r="E97" s="2"/>
      <c r="F97" s="8">
        <v>0.6143</v>
      </c>
      <c r="G97" s="34"/>
      <c r="H97" s="36"/>
      <c r="I97" s="34"/>
    </row>
    <row r="98" spans="1:9" ht="16.5" customHeight="1">
      <c r="A98" s="14">
        <v>95</v>
      </c>
      <c r="B98" s="57" t="s">
        <v>179</v>
      </c>
      <c r="C98" s="60" t="s">
        <v>180</v>
      </c>
      <c r="D98" s="2" t="s">
        <v>181</v>
      </c>
      <c r="E98" s="2"/>
      <c r="F98" s="15">
        <v>1.38</v>
      </c>
      <c r="G98" s="32">
        <f>F98+F99</f>
        <v>2.8</v>
      </c>
      <c r="H98" s="35">
        <f>'[2]расчет средней нормы'!$AC$20</f>
        <v>1.9715412377851957</v>
      </c>
      <c r="I98" s="30">
        <f>G98-H98</f>
        <v>0.8284587622148041</v>
      </c>
    </row>
    <row r="99" spans="1:9" ht="0.75" customHeight="1">
      <c r="A99" s="14">
        <v>96</v>
      </c>
      <c r="B99" s="59"/>
      <c r="C99" s="62"/>
      <c r="D99" s="2" t="s">
        <v>182</v>
      </c>
      <c r="E99" s="2"/>
      <c r="F99" s="15">
        <v>1.42</v>
      </c>
      <c r="G99" s="34"/>
      <c r="H99" s="36"/>
      <c r="I99" s="31"/>
    </row>
    <row r="100" spans="1:9" ht="15.75" customHeight="1">
      <c r="A100" s="14">
        <v>97</v>
      </c>
      <c r="B100" s="57" t="s">
        <v>106</v>
      </c>
      <c r="C100" s="60" t="s">
        <v>107</v>
      </c>
      <c r="D100" s="2" t="s">
        <v>108</v>
      </c>
      <c r="E100" s="2">
        <v>6.5</v>
      </c>
      <c r="F100" s="7"/>
      <c r="G100" s="38">
        <f>(E100+E101+E102)*0.64</f>
        <v>14.5728</v>
      </c>
      <c r="H100" s="35">
        <f>'[2]расчет средней нормы'!$AC$21</f>
        <v>4.6442315851178195</v>
      </c>
      <c r="I100" s="38">
        <f>G100-H100</f>
        <v>9.928568414882182</v>
      </c>
    </row>
    <row r="101" spans="1:9" ht="0.75" customHeight="1" hidden="1">
      <c r="A101" s="14">
        <v>98</v>
      </c>
      <c r="B101" s="58"/>
      <c r="C101" s="61"/>
      <c r="D101" s="2" t="s">
        <v>108</v>
      </c>
      <c r="E101" s="2">
        <v>6.5</v>
      </c>
      <c r="F101" s="7"/>
      <c r="G101" s="39"/>
      <c r="H101" s="43"/>
      <c r="I101" s="39"/>
    </row>
    <row r="102" spans="1:9" ht="18.75" customHeight="1" hidden="1">
      <c r="A102" s="14">
        <v>99</v>
      </c>
      <c r="B102" s="59"/>
      <c r="C102" s="62"/>
      <c r="D102" s="4" t="s">
        <v>109</v>
      </c>
      <c r="E102" s="2">
        <v>9.77</v>
      </c>
      <c r="F102" s="7"/>
      <c r="G102" s="40"/>
      <c r="H102" s="36"/>
      <c r="I102" s="40"/>
    </row>
    <row r="103" spans="1:9" ht="15" customHeight="1">
      <c r="A103" s="14">
        <v>100</v>
      </c>
      <c r="B103" s="57" t="s">
        <v>110</v>
      </c>
      <c r="C103" s="60" t="s">
        <v>111</v>
      </c>
      <c r="D103" s="2" t="s">
        <v>72</v>
      </c>
      <c r="E103" s="2"/>
      <c r="F103" s="15">
        <v>0.59</v>
      </c>
      <c r="G103" s="32">
        <f>F103+F104+(E105+E106+E107)*0.64</f>
        <v>2.5192</v>
      </c>
      <c r="H103" s="35">
        <f>'[2]расчет средней нормы'!$AC$24</f>
        <v>0.5490209250281743</v>
      </c>
      <c r="I103" s="32">
        <f>G103-H103</f>
        <v>1.9701790749718258</v>
      </c>
    </row>
    <row r="104" spans="1:9" ht="18.75" customHeight="1" hidden="1">
      <c r="A104" s="14">
        <v>101</v>
      </c>
      <c r="B104" s="58"/>
      <c r="C104" s="61"/>
      <c r="D104" s="2" t="s">
        <v>72</v>
      </c>
      <c r="E104" s="2"/>
      <c r="F104" s="15">
        <v>0.63</v>
      </c>
      <c r="G104" s="33"/>
      <c r="H104" s="43"/>
      <c r="I104" s="33"/>
    </row>
    <row r="105" spans="1:9" ht="18.75" customHeight="1" hidden="1">
      <c r="A105" s="14">
        <v>102</v>
      </c>
      <c r="B105" s="58"/>
      <c r="C105" s="61"/>
      <c r="D105" s="2" t="s">
        <v>20</v>
      </c>
      <c r="E105" s="2"/>
      <c r="F105" s="20" t="s">
        <v>183</v>
      </c>
      <c r="G105" s="33"/>
      <c r="H105" s="43"/>
      <c r="I105" s="33"/>
    </row>
    <row r="106" spans="1:9" ht="18.75" customHeight="1" hidden="1">
      <c r="A106" s="14">
        <v>103</v>
      </c>
      <c r="B106" s="58"/>
      <c r="C106" s="61"/>
      <c r="D106" s="2" t="s">
        <v>20</v>
      </c>
      <c r="E106" s="12">
        <v>1</v>
      </c>
      <c r="F106" s="15"/>
      <c r="G106" s="33"/>
      <c r="H106" s="43"/>
      <c r="I106" s="33"/>
    </row>
    <row r="107" spans="1:9" ht="18.75" customHeight="1" hidden="1">
      <c r="A107" s="14">
        <v>104</v>
      </c>
      <c r="B107" s="59"/>
      <c r="C107" s="62"/>
      <c r="D107" s="2" t="s">
        <v>20</v>
      </c>
      <c r="E107" s="2">
        <v>1.03</v>
      </c>
      <c r="F107" s="15"/>
      <c r="G107" s="34"/>
      <c r="H107" s="36"/>
      <c r="I107" s="34"/>
    </row>
    <row r="108" spans="1:9" ht="18" customHeight="1" hidden="1">
      <c r="A108" s="14">
        <v>105</v>
      </c>
      <c r="B108" s="57" t="s">
        <v>112</v>
      </c>
      <c r="C108" s="60" t="s">
        <v>113</v>
      </c>
      <c r="D108" s="2" t="s">
        <v>87</v>
      </c>
      <c r="E108" s="2"/>
      <c r="F108" s="15">
        <f>1.8/1.16</f>
        <v>1.5517241379310347</v>
      </c>
      <c r="G108" s="32">
        <f>F108+F109</f>
        <v>4.224137931034483</v>
      </c>
      <c r="H108" s="35">
        <f>'[2]расчет средней нормы'!$AC$28</f>
        <v>4.23125896102376</v>
      </c>
      <c r="I108" s="30">
        <f>G108-H108</f>
        <v>-0.0071210299892765505</v>
      </c>
    </row>
    <row r="109" spans="1:9" ht="18.75" customHeight="1" hidden="1">
      <c r="A109" s="14">
        <v>106</v>
      </c>
      <c r="B109" s="59"/>
      <c r="C109" s="62"/>
      <c r="D109" s="2" t="s">
        <v>114</v>
      </c>
      <c r="E109" s="2"/>
      <c r="F109" s="15">
        <f>3.1/1.16</f>
        <v>2.6724137931034484</v>
      </c>
      <c r="G109" s="34"/>
      <c r="H109" s="36"/>
      <c r="I109" s="31"/>
    </row>
    <row r="110" spans="1:9" ht="15.75" customHeight="1" hidden="1">
      <c r="A110" s="14">
        <v>107</v>
      </c>
      <c r="B110" s="63" t="s">
        <v>115</v>
      </c>
      <c r="C110" s="60" t="s">
        <v>116</v>
      </c>
      <c r="D110" s="2" t="s">
        <v>87</v>
      </c>
      <c r="E110" s="2"/>
      <c r="F110" s="15">
        <f>1.5/1.16</f>
        <v>1.293103448275862</v>
      </c>
      <c r="G110" s="32">
        <f>F110+F111</f>
        <v>3.8793103448275863</v>
      </c>
      <c r="H110" s="35">
        <f>'[2]расчет средней нормы'!$AC$29</f>
        <v>3.9841415627705628</v>
      </c>
      <c r="I110" s="30">
        <f>G110-H110</f>
        <v>-0.10483121794297645</v>
      </c>
    </row>
    <row r="111" spans="1:9" ht="18.75" customHeight="1" hidden="1">
      <c r="A111" s="14">
        <v>108</v>
      </c>
      <c r="B111" s="59"/>
      <c r="C111" s="62"/>
      <c r="D111" s="2" t="s">
        <v>114</v>
      </c>
      <c r="E111" s="2"/>
      <c r="F111" s="15">
        <f>3/1.16</f>
        <v>2.586206896551724</v>
      </c>
      <c r="G111" s="34"/>
      <c r="H111" s="36"/>
      <c r="I111" s="31"/>
    </row>
    <row r="112" spans="1:9" ht="18.75" customHeight="1">
      <c r="A112" s="14">
        <v>109</v>
      </c>
      <c r="B112" s="57" t="s">
        <v>117</v>
      </c>
      <c r="C112" s="60" t="s">
        <v>118</v>
      </c>
      <c r="D112" s="2" t="s">
        <v>87</v>
      </c>
      <c r="E112" s="2"/>
      <c r="F112" s="15">
        <f>1.8/1.16</f>
        <v>1.5517241379310347</v>
      </c>
      <c r="G112" s="32">
        <f>F112+F113</f>
        <v>4.137931034482759</v>
      </c>
      <c r="H112" s="35">
        <f>'[2]расчет средней нормы'!$AC$30</f>
        <v>2.423740852635349</v>
      </c>
      <c r="I112" s="30">
        <f>G112-H112</f>
        <v>1.71419018184741</v>
      </c>
    </row>
    <row r="113" spans="1:9" ht="0.75" customHeight="1">
      <c r="A113" s="14">
        <v>110</v>
      </c>
      <c r="B113" s="59"/>
      <c r="C113" s="62"/>
      <c r="D113" s="4" t="s">
        <v>114</v>
      </c>
      <c r="E113" s="2"/>
      <c r="F113" s="15">
        <f>3/1.16</f>
        <v>2.586206896551724</v>
      </c>
      <c r="G113" s="34"/>
      <c r="H113" s="36"/>
      <c r="I113" s="31"/>
    </row>
    <row r="114" spans="1:9" ht="18.75" customHeight="1">
      <c r="A114" s="14">
        <v>111</v>
      </c>
      <c r="B114" s="57" t="s">
        <v>119</v>
      </c>
      <c r="C114" s="64" t="s">
        <v>120</v>
      </c>
      <c r="D114" s="2" t="s">
        <v>87</v>
      </c>
      <c r="E114" s="2"/>
      <c r="F114" s="15">
        <f>1.9/1.16</f>
        <v>1.6379310344827587</v>
      </c>
      <c r="G114" s="32">
        <f>F114+F115</f>
        <v>4.224137931034483</v>
      </c>
      <c r="H114" s="35">
        <f>'[2]расчет средней нормы'!$AC$31</f>
        <v>4.012896497698158</v>
      </c>
      <c r="I114" s="30">
        <f>G114-H114</f>
        <v>0.21124143333632528</v>
      </c>
    </row>
    <row r="115" spans="1:9" ht="0.75" customHeight="1">
      <c r="A115" s="14">
        <v>112</v>
      </c>
      <c r="B115" s="59"/>
      <c r="C115" s="65"/>
      <c r="D115" s="2" t="s">
        <v>114</v>
      </c>
      <c r="E115" s="2"/>
      <c r="F115" s="15">
        <f>3/1.16</f>
        <v>2.586206896551724</v>
      </c>
      <c r="G115" s="34"/>
      <c r="H115" s="36"/>
      <c r="I115" s="31"/>
    </row>
    <row r="116" spans="1:9" ht="16.5" customHeight="1">
      <c r="A116" s="14">
        <v>113</v>
      </c>
      <c r="B116" s="63" t="s">
        <v>121</v>
      </c>
      <c r="C116" s="60" t="s">
        <v>122</v>
      </c>
      <c r="D116" s="2" t="s">
        <v>114</v>
      </c>
      <c r="E116" s="2"/>
      <c r="F116" s="15">
        <f>2.7/1.16</f>
        <v>2.327586206896552</v>
      </c>
      <c r="G116" s="30">
        <f>F116+F117</f>
        <v>4.482758620689656</v>
      </c>
      <c r="H116" s="35">
        <f>'[2]расчет средней нормы'!$AC$35</f>
        <v>4.353129237204323</v>
      </c>
      <c r="I116" s="30">
        <f>G116-H116</f>
        <v>0.12962938348533282</v>
      </c>
    </row>
    <row r="117" spans="1:9" ht="18.75" customHeight="1" hidden="1">
      <c r="A117" s="14">
        <v>114</v>
      </c>
      <c r="B117" s="59"/>
      <c r="C117" s="62"/>
      <c r="D117" s="2" t="s">
        <v>114</v>
      </c>
      <c r="E117" s="2"/>
      <c r="F117" s="15">
        <f>2.5/1.16</f>
        <v>2.1551724137931036</v>
      </c>
      <c r="G117" s="31"/>
      <c r="H117" s="36"/>
      <c r="I117" s="31"/>
    </row>
    <row r="118" spans="1:9" ht="20.25" customHeight="1">
      <c r="A118" s="14">
        <v>115</v>
      </c>
      <c r="B118" s="57" t="s">
        <v>123</v>
      </c>
      <c r="C118" s="60" t="s">
        <v>124</v>
      </c>
      <c r="D118" s="2" t="s">
        <v>125</v>
      </c>
      <c r="E118" s="2"/>
      <c r="F118" s="15">
        <f>1.802</f>
        <v>1.802</v>
      </c>
      <c r="G118" s="32">
        <f>F118+F119+F120</f>
        <v>5.422</v>
      </c>
      <c r="H118" s="35">
        <f>'[2]расчет средней нормы'!$AC$36</f>
        <v>3.7606457113813807</v>
      </c>
      <c r="I118" s="32">
        <f>G118-H118</f>
        <v>1.661354288618619</v>
      </c>
    </row>
    <row r="119" spans="1:9" ht="0.75" customHeight="1" hidden="1">
      <c r="A119" s="14">
        <v>116</v>
      </c>
      <c r="B119" s="58"/>
      <c r="C119" s="61"/>
      <c r="D119" s="2" t="s">
        <v>125</v>
      </c>
      <c r="E119" s="2"/>
      <c r="F119" s="15">
        <v>1.71</v>
      </c>
      <c r="G119" s="33"/>
      <c r="H119" s="43"/>
      <c r="I119" s="33"/>
    </row>
    <row r="120" spans="1:9" ht="18.75" customHeight="1" hidden="1">
      <c r="A120" s="14">
        <v>117</v>
      </c>
      <c r="B120" s="59"/>
      <c r="C120" s="62"/>
      <c r="D120" s="2" t="s">
        <v>125</v>
      </c>
      <c r="E120" s="2"/>
      <c r="F120" s="15">
        <v>1.91</v>
      </c>
      <c r="G120" s="34"/>
      <c r="H120" s="36"/>
      <c r="I120" s="34"/>
    </row>
    <row r="121" spans="1:9" ht="17.25" customHeight="1">
      <c r="A121" s="14">
        <v>118</v>
      </c>
      <c r="B121" s="57" t="s">
        <v>126</v>
      </c>
      <c r="C121" s="60" t="s">
        <v>127</v>
      </c>
      <c r="D121" s="2" t="s">
        <v>128</v>
      </c>
      <c r="E121" s="2">
        <v>8.1</v>
      </c>
      <c r="F121" s="15" t="s">
        <v>184</v>
      </c>
      <c r="G121" s="38">
        <f>(E121+E122+E123)*0.64</f>
        <v>15.616</v>
      </c>
      <c r="H121" s="35">
        <f>'[2]расчет средней нормы'!$AC$38</f>
        <v>10.391162600181257</v>
      </c>
      <c r="I121" s="38">
        <f>G121-H121</f>
        <v>5.2248373998187425</v>
      </c>
    </row>
    <row r="122" spans="1:9" ht="0.75" customHeight="1" hidden="1">
      <c r="A122" s="14">
        <v>119</v>
      </c>
      <c r="B122" s="58"/>
      <c r="C122" s="61"/>
      <c r="D122" s="2" t="s">
        <v>128</v>
      </c>
      <c r="E122" s="2">
        <v>8.4</v>
      </c>
      <c r="F122" s="15"/>
      <c r="G122" s="39"/>
      <c r="H122" s="43"/>
      <c r="I122" s="39"/>
    </row>
    <row r="123" spans="1:9" ht="18.75" customHeight="1" hidden="1">
      <c r="A123" s="14">
        <v>120</v>
      </c>
      <c r="B123" s="59"/>
      <c r="C123" s="62"/>
      <c r="D123" s="2" t="s">
        <v>128</v>
      </c>
      <c r="E123" s="2">
        <v>7.9</v>
      </c>
      <c r="F123" s="15"/>
      <c r="G123" s="40"/>
      <c r="H123" s="36"/>
      <c r="I123" s="40"/>
    </row>
    <row r="124" spans="1:9" ht="17.25" customHeight="1">
      <c r="A124" s="14">
        <v>121</v>
      </c>
      <c r="B124" s="57" t="s">
        <v>129</v>
      </c>
      <c r="C124" s="60" t="s">
        <v>130</v>
      </c>
      <c r="D124" s="4" t="s">
        <v>19</v>
      </c>
      <c r="E124" s="2"/>
      <c r="F124" s="15">
        <v>0.73</v>
      </c>
      <c r="G124" s="32">
        <f>F124+F125+F126+F127</f>
        <v>2.92</v>
      </c>
      <c r="H124" s="35">
        <f>'[2]расчет средней нормы'!$AC$39</f>
        <v>2.3783023314517733</v>
      </c>
      <c r="I124" s="32">
        <f>G124-H124</f>
        <v>0.5416976685482267</v>
      </c>
    </row>
    <row r="125" spans="1:9" ht="18.75" customHeight="1" hidden="1">
      <c r="A125" s="14">
        <v>122</v>
      </c>
      <c r="B125" s="58"/>
      <c r="C125" s="61"/>
      <c r="D125" s="4" t="s">
        <v>19</v>
      </c>
      <c r="E125" s="2"/>
      <c r="F125" s="15">
        <v>0.73</v>
      </c>
      <c r="G125" s="33"/>
      <c r="H125" s="43"/>
      <c r="I125" s="33"/>
    </row>
    <row r="126" spans="1:9" ht="1.5" customHeight="1" hidden="1">
      <c r="A126" s="14">
        <v>123</v>
      </c>
      <c r="B126" s="58"/>
      <c r="C126" s="61"/>
      <c r="D126" s="4" t="s">
        <v>19</v>
      </c>
      <c r="E126" s="2"/>
      <c r="F126" s="15">
        <v>0.73</v>
      </c>
      <c r="G126" s="33"/>
      <c r="H126" s="43"/>
      <c r="I126" s="33"/>
    </row>
    <row r="127" spans="1:9" ht="18.75" customHeight="1" hidden="1">
      <c r="A127" s="14">
        <v>124</v>
      </c>
      <c r="B127" s="59"/>
      <c r="C127" s="62"/>
      <c r="D127" s="4" t="s">
        <v>19</v>
      </c>
      <c r="E127" s="2"/>
      <c r="F127" s="15">
        <v>0.73</v>
      </c>
      <c r="G127" s="34"/>
      <c r="H127" s="36"/>
      <c r="I127" s="34"/>
    </row>
    <row r="128" spans="1:9" ht="18.75" customHeight="1">
      <c r="A128" s="14">
        <v>125</v>
      </c>
      <c r="B128" s="57" t="s">
        <v>131</v>
      </c>
      <c r="C128" s="60" t="s">
        <v>132</v>
      </c>
      <c r="D128" s="2" t="s">
        <v>133</v>
      </c>
      <c r="E128" s="2"/>
      <c r="F128" s="15">
        <v>0.762</v>
      </c>
      <c r="G128" s="32">
        <f>F128+F129+F130+F131+F132+F133</f>
        <v>4.124</v>
      </c>
      <c r="H128" s="35">
        <f>'[2]расчет средней нормы'!$AC$42</f>
        <v>2.00649903997114</v>
      </c>
      <c r="I128" s="32">
        <f>G128-H128</f>
        <v>2.1175009600288597</v>
      </c>
    </row>
    <row r="129" spans="1:9" ht="18.75" customHeight="1" hidden="1">
      <c r="A129" s="14">
        <v>126</v>
      </c>
      <c r="B129" s="58"/>
      <c r="C129" s="61"/>
      <c r="D129" s="2" t="s">
        <v>133</v>
      </c>
      <c r="E129" s="2"/>
      <c r="F129" s="15">
        <v>0.792</v>
      </c>
      <c r="G129" s="33"/>
      <c r="H129" s="43"/>
      <c r="I129" s="33"/>
    </row>
    <row r="130" spans="1:9" ht="0.75" customHeight="1" hidden="1">
      <c r="A130" s="14">
        <v>127</v>
      </c>
      <c r="B130" s="58"/>
      <c r="C130" s="61"/>
      <c r="D130" s="2" t="s">
        <v>133</v>
      </c>
      <c r="E130" s="2"/>
      <c r="F130" s="15">
        <v>0.762</v>
      </c>
      <c r="G130" s="33"/>
      <c r="H130" s="43"/>
      <c r="I130" s="33"/>
    </row>
    <row r="131" spans="1:9" ht="18.75" customHeight="1" hidden="1">
      <c r="A131" s="14">
        <v>128</v>
      </c>
      <c r="B131" s="58"/>
      <c r="C131" s="61"/>
      <c r="D131" s="2" t="s">
        <v>133</v>
      </c>
      <c r="E131" s="2"/>
      <c r="F131" s="15">
        <v>0.526</v>
      </c>
      <c r="G131" s="33"/>
      <c r="H131" s="43"/>
      <c r="I131" s="33"/>
    </row>
    <row r="132" spans="1:9" ht="18.75" customHeight="1" hidden="1">
      <c r="A132" s="14">
        <v>129</v>
      </c>
      <c r="B132" s="58"/>
      <c r="C132" s="61"/>
      <c r="D132" s="2" t="s">
        <v>133</v>
      </c>
      <c r="E132" s="2"/>
      <c r="F132" s="15">
        <v>0.631</v>
      </c>
      <c r="G132" s="33"/>
      <c r="H132" s="43"/>
      <c r="I132" s="33"/>
    </row>
    <row r="133" spans="1:9" ht="12" customHeight="1">
      <c r="A133" s="14">
        <v>130</v>
      </c>
      <c r="B133" s="59"/>
      <c r="C133" s="62"/>
      <c r="D133" s="2" t="s">
        <v>133</v>
      </c>
      <c r="E133" s="2"/>
      <c r="F133" s="15">
        <v>0.651</v>
      </c>
      <c r="G133" s="34"/>
      <c r="H133" s="36"/>
      <c r="I133" s="34"/>
    </row>
    <row r="134" spans="1:9" ht="16.5" customHeight="1">
      <c r="A134" s="14">
        <v>131</v>
      </c>
      <c r="B134" s="57" t="s">
        <v>134</v>
      </c>
      <c r="C134" s="50" t="s">
        <v>135</v>
      </c>
      <c r="D134" s="2" t="s">
        <v>136</v>
      </c>
      <c r="E134" s="2"/>
      <c r="F134" s="15">
        <v>3.36</v>
      </c>
      <c r="G134" s="32">
        <f>F134+F135</f>
        <v>6</v>
      </c>
      <c r="H134" s="35">
        <f>'[2]расчет средней нормы'!$AC$40</f>
        <v>4.2482203174603175</v>
      </c>
      <c r="I134" s="30">
        <f>G134-H134</f>
        <v>1.7517796825396825</v>
      </c>
    </row>
    <row r="135" spans="1:9" ht="18.75" customHeight="1" hidden="1">
      <c r="A135" s="14">
        <v>132</v>
      </c>
      <c r="B135" s="59"/>
      <c r="C135" s="52"/>
      <c r="D135" s="2" t="s">
        <v>137</v>
      </c>
      <c r="E135" s="2"/>
      <c r="F135" s="15">
        <v>2.64</v>
      </c>
      <c r="G135" s="34"/>
      <c r="H135" s="36"/>
      <c r="I135" s="31"/>
    </row>
    <row r="136" spans="1:9" ht="18.75" customHeight="1" hidden="1">
      <c r="A136" s="14">
        <v>133</v>
      </c>
      <c r="B136" s="57" t="s">
        <v>138</v>
      </c>
      <c r="C136" s="50" t="s">
        <v>139</v>
      </c>
      <c r="D136" s="2" t="s">
        <v>87</v>
      </c>
      <c r="E136" s="2"/>
      <c r="F136" s="15">
        <f>1.7/1.16</f>
        <v>1.4655172413793105</v>
      </c>
      <c r="G136" s="30">
        <f>F136+F137+F138</f>
        <v>3.7068965517241383</v>
      </c>
      <c r="H136" s="35">
        <f>'[2]расчет средней нормы'!$AC$47</f>
        <v>4.35338442297656</v>
      </c>
      <c r="I136" s="30">
        <f>G136-H136</f>
        <v>-0.6464878712524214</v>
      </c>
    </row>
    <row r="137" spans="1:9" ht="18.75" customHeight="1" hidden="1">
      <c r="A137" s="14">
        <v>134</v>
      </c>
      <c r="B137" s="58"/>
      <c r="C137" s="51"/>
      <c r="D137" s="2" t="s">
        <v>87</v>
      </c>
      <c r="E137" s="2"/>
      <c r="F137" s="15">
        <f>1.6/1.16</f>
        <v>1.3793103448275863</v>
      </c>
      <c r="G137" s="41"/>
      <c r="H137" s="43"/>
      <c r="I137" s="41"/>
    </row>
    <row r="138" spans="1:9" ht="18.75" customHeight="1" hidden="1">
      <c r="A138" s="14">
        <v>135</v>
      </c>
      <c r="B138" s="59"/>
      <c r="C138" s="52"/>
      <c r="D138" s="2" t="s">
        <v>86</v>
      </c>
      <c r="E138" s="2"/>
      <c r="F138" s="15">
        <f>1/1.16</f>
        <v>0.8620689655172414</v>
      </c>
      <c r="G138" s="31"/>
      <c r="H138" s="36"/>
      <c r="I138" s="31"/>
    </row>
    <row r="139" spans="1:9" ht="18.75" customHeight="1" hidden="1">
      <c r="A139" s="14">
        <v>136</v>
      </c>
      <c r="B139" s="57" t="s">
        <v>140</v>
      </c>
      <c r="C139" s="60" t="s">
        <v>141</v>
      </c>
      <c r="D139" s="2" t="s">
        <v>142</v>
      </c>
      <c r="E139" s="2"/>
      <c r="F139" s="15">
        <f>4/1.16</f>
        <v>3.4482758620689657</v>
      </c>
      <c r="G139" s="32">
        <f>F139+F140</f>
        <v>5.603448275862069</v>
      </c>
      <c r="H139" s="35">
        <f>'[2]расчет средней нормы'!$AC$52</f>
        <v>5.73067041455657</v>
      </c>
      <c r="I139" s="30">
        <f>G139-H139</f>
        <v>-0.12722213869450094</v>
      </c>
    </row>
    <row r="140" spans="1:9" ht="0.75" customHeight="1" hidden="1">
      <c r="A140" s="14">
        <v>137</v>
      </c>
      <c r="B140" s="59"/>
      <c r="C140" s="62"/>
      <c r="D140" s="2" t="s">
        <v>143</v>
      </c>
      <c r="E140" s="2"/>
      <c r="F140" s="15">
        <f>2.5/1.16</f>
        <v>2.1551724137931036</v>
      </c>
      <c r="G140" s="34"/>
      <c r="H140" s="36"/>
      <c r="I140" s="31"/>
    </row>
    <row r="141" spans="1:9" ht="18.75" customHeight="1" hidden="1">
      <c r="A141" s="14">
        <v>138</v>
      </c>
      <c r="B141" s="57" t="s">
        <v>144</v>
      </c>
      <c r="C141" s="60" t="s">
        <v>145</v>
      </c>
      <c r="D141" s="2" t="s">
        <v>142</v>
      </c>
      <c r="E141" s="2"/>
      <c r="F141" s="15">
        <f>4/1.16</f>
        <v>3.4482758620689657</v>
      </c>
      <c r="G141" s="30">
        <f>F141+F142+F143+F144</f>
        <v>9.78448275862069</v>
      </c>
      <c r="H141" s="35">
        <f>'[2]расчет средней нормы'!$AC$53</f>
        <v>10.672122733992099</v>
      </c>
      <c r="I141" s="30">
        <f>G141-H141</f>
        <v>-0.8876399753714086</v>
      </c>
    </row>
    <row r="142" spans="1:9" ht="0.75" customHeight="1" hidden="1">
      <c r="A142" s="14">
        <v>139</v>
      </c>
      <c r="B142" s="58"/>
      <c r="C142" s="61"/>
      <c r="D142" s="2" t="s">
        <v>142</v>
      </c>
      <c r="E142" s="2"/>
      <c r="F142" s="15">
        <f>4/1.16</f>
        <v>3.4482758620689657</v>
      </c>
      <c r="G142" s="41"/>
      <c r="H142" s="43"/>
      <c r="I142" s="41"/>
    </row>
    <row r="143" spans="1:9" ht="18.75" customHeight="1" hidden="1">
      <c r="A143" s="14">
        <v>140</v>
      </c>
      <c r="B143" s="58"/>
      <c r="C143" s="61"/>
      <c r="D143" s="2" t="s">
        <v>143</v>
      </c>
      <c r="E143" s="2"/>
      <c r="F143" s="15">
        <f>2.5/1.16</f>
        <v>2.1551724137931036</v>
      </c>
      <c r="G143" s="41"/>
      <c r="H143" s="43"/>
      <c r="I143" s="41"/>
    </row>
    <row r="144" spans="1:9" ht="18.75" customHeight="1" hidden="1">
      <c r="A144" s="14">
        <v>141</v>
      </c>
      <c r="B144" s="59"/>
      <c r="C144" s="62"/>
      <c r="D144" s="2" t="s">
        <v>146</v>
      </c>
      <c r="E144" s="2"/>
      <c r="F144" s="15">
        <f>0.85/1.16</f>
        <v>0.7327586206896552</v>
      </c>
      <c r="G144" s="31"/>
      <c r="H144" s="36"/>
      <c r="I144" s="31"/>
    </row>
    <row r="145" spans="1:9" ht="18.75" customHeight="1">
      <c r="A145" s="14">
        <v>142</v>
      </c>
      <c r="B145" s="57" t="s">
        <v>147</v>
      </c>
      <c r="C145" s="60" t="s">
        <v>148</v>
      </c>
      <c r="D145" s="2" t="s">
        <v>142</v>
      </c>
      <c r="E145" s="2"/>
      <c r="F145" s="15">
        <f>3.9/1.16</f>
        <v>3.3620689655172415</v>
      </c>
      <c r="G145" s="32">
        <f>F145+F146+F147+F148</f>
        <v>8.189655172413794</v>
      </c>
      <c r="H145" s="35">
        <f>'[2]расчет средней нормы'!$AC$51</f>
        <v>7.084085714274718</v>
      </c>
      <c r="I145" s="32">
        <f>G145-H145</f>
        <v>1.105569458139076</v>
      </c>
    </row>
    <row r="146" spans="1:9" ht="0.75" customHeight="1">
      <c r="A146" s="14">
        <v>143</v>
      </c>
      <c r="B146" s="58"/>
      <c r="C146" s="61"/>
      <c r="D146" s="4" t="s">
        <v>142</v>
      </c>
      <c r="E146" s="2"/>
      <c r="F146" s="15">
        <f>4/1.16</f>
        <v>3.4482758620689657</v>
      </c>
      <c r="G146" s="33"/>
      <c r="H146" s="43"/>
      <c r="I146" s="33"/>
    </row>
    <row r="147" spans="1:9" ht="3.75" customHeight="1" hidden="1">
      <c r="A147" s="14">
        <v>144</v>
      </c>
      <c r="B147" s="58"/>
      <c r="C147" s="61"/>
      <c r="D147" s="2" t="s">
        <v>86</v>
      </c>
      <c r="E147" s="2"/>
      <c r="F147" s="15">
        <f>0.6/1.16</f>
        <v>0.5172413793103449</v>
      </c>
      <c r="G147" s="33"/>
      <c r="H147" s="43"/>
      <c r="I147" s="33"/>
    </row>
    <row r="148" spans="1:9" ht="18.75" customHeight="1" hidden="1">
      <c r="A148" s="14">
        <v>145</v>
      </c>
      <c r="B148" s="59"/>
      <c r="C148" s="62"/>
      <c r="D148" s="2" t="s">
        <v>86</v>
      </c>
      <c r="E148" s="2"/>
      <c r="F148" s="15">
        <f>1/1.16</f>
        <v>0.8620689655172414</v>
      </c>
      <c r="G148" s="34"/>
      <c r="H148" s="36"/>
      <c r="I148" s="34"/>
    </row>
    <row r="149" spans="1:9" ht="18.75" customHeight="1">
      <c r="A149" s="14">
        <v>146</v>
      </c>
      <c r="B149" s="57" t="s">
        <v>149</v>
      </c>
      <c r="C149" s="60" t="s">
        <v>150</v>
      </c>
      <c r="D149" s="2" t="s">
        <v>151</v>
      </c>
      <c r="E149" s="2"/>
      <c r="F149" s="15">
        <v>1.8</v>
      </c>
      <c r="G149" s="32">
        <f>F149+F150+F151+F152</f>
        <v>7.45</v>
      </c>
      <c r="H149" s="35">
        <f>'[2]расчет средней нормы'!$AC$60</f>
        <v>3.2451494770573888</v>
      </c>
      <c r="I149" s="32">
        <f>G149-H149</f>
        <v>4.204850522942611</v>
      </c>
    </row>
    <row r="150" spans="1:9" ht="10.5" customHeight="1">
      <c r="A150" s="14">
        <v>147</v>
      </c>
      <c r="B150" s="58"/>
      <c r="C150" s="61"/>
      <c r="D150" s="2" t="s">
        <v>152</v>
      </c>
      <c r="E150" s="2"/>
      <c r="F150" s="15">
        <v>1.75</v>
      </c>
      <c r="G150" s="33"/>
      <c r="H150" s="43"/>
      <c r="I150" s="33"/>
    </row>
    <row r="151" spans="1:9" ht="18.75" customHeight="1" hidden="1">
      <c r="A151" s="14">
        <v>148</v>
      </c>
      <c r="B151" s="58"/>
      <c r="C151" s="61"/>
      <c r="D151" s="2" t="s">
        <v>153</v>
      </c>
      <c r="E151" s="2"/>
      <c r="F151" s="15">
        <v>2.1</v>
      </c>
      <c r="G151" s="33"/>
      <c r="H151" s="43"/>
      <c r="I151" s="33"/>
    </row>
    <row r="152" spans="1:9" ht="18.75" customHeight="1" hidden="1">
      <c r="A152" s="14">
        <v>149</v>
      </c>
      <c r="B152" s="59"/>
      <c r="C152" s="62"/>
      <c r="D152" s="2" t="s">
        <v>153</v>
      </c>
      <c r="E152" s="2"/>
      <c r="F152" s="15">
        <v>1.8</v>
      </c>
      <c r="G152" s="34"/>
      <c r="H152" s="36"/>
      <c r="I152" s="34"/>
    </row>
    <row r="153" spans="1:9" ht="15" customHeight="1">
      <c r="A153" s="14">
        <v>150</v>
      </c>
      <c r="B153" s="57" t="s">
        <v>154</v>
      </c>
      <c r="C153" s="60" t="s">
        <v>155</v>
      </c>
      <c r="D153" s="2" t="s">
        <v>156</v>
      </c>
      <c r="E153" s="2"/>
      <c r="F153" s="15">
        <f>1.6/1.16</f>
        <v>1.3793103448275863</v>
      </c>
      <c r="G153" s="32">
        <f>F153+F154</f>
        <v>2.7586206896551726</v>
      </c>
      <c r="H153" s="35">
        <f>'[2]расчет средней нормы'!$AC$57</f>
        <v>2.352895057229648</v>
      </c>
      <c r="I153" s="30">
        <f>G153-H153</f>
        <v>0.40572563242552473</v>
      </c>
    </row>
    <row r="154" spans="1:9" ht="16.5" customHeight="1" hidden="1">
      <c r="A154" s="14">
        <v>151</v>
      </c>
      <c r="B154" s="58"/>
      <c r="C154" s="62"/>
      <c r="D154" s="2" t="s">
        <v>156</v>
      </c>
      <c r="E154" s="2"/>
      <c r="F154" s="15">
        <f>1.6/1.16</f>
        <v>1.3793103448275863</v>
      </c>
      <c r="G154" s="33"/>
      <c r="H154" s="43"/>
      <c r="I154" s="31"/>
    </row>
    <row r="155" spans="1:9" ht="17.25" customHeight="1">
      <c r="A155" s="14">
        <v>152</v>
      </c>
      <c r="B155" s="57" t="s">
        <v>157</v>
      </c>
      <c r="C155" s="60" t="s">
        <v>158</v>
      </c>
      <c r="D155" s="2" t="s">
        <v>159</v>
      </c>
      <c r="E155" s="2"/>
      <c r="F155" s="16">
        <f>4.8/6/1.16</f>
        <v>0.689655172413793</v>
      </c>
      <c r="G155" s="32">
        <f>F155+F156+F157+F159+F160+F161+E158*0.64</f>
        <v>4.777931034482758</v>
      </c>
      <c r="H155" s="35">
        <f>'[2]расчет средней нормы'!$AC$59</f>
        <v>2.4089407994292795</v>
      </c>
      <c r="I155" s="32">
        <f>G155-H155</f>
        <v>2.368990235053478</v>
      </c>
    </row>
    <row r="156" spans="1:9" ht="0.75" customHeight="1" hidden="1">
      <c r="A156" s="14">
        <v>153</v>
      </c>
      <c r="B156" s="58"/>
      <c r="C156" s="61"/>
      <c r="D156" s="2" t="s">
        <v>159</v>
      </c>
      <c r="E156" s="2"/>
      <c r="F156" s="16">
        <f>4.8/6/1.16</f>
        <v>0.689655172413793</v>
      </c>
      <c r="G156" s="33"/>
      <c r="H156" s="43"/>
      <c r="I156" s="33"/>
    </row>
    <row r="157" spans="1:9" ht="18.75" customHeight="1" hidden="1">
      <c r="A157" s="14">
        <v>154</v>
      </c>
      <c r="B157" s="58"/>
      <c r="C157" s="61"/>
      <c r="D157" s="2" t="s">
        <v>159</v>
      </c>
      <c r="E157" s="2"/>
      <c r="F157" s="16">
        <f>4.8/6/1.16</f>
        <v>0.689655172413793</v>
      </c>
      <c r="G157" s="33"/>
      <c r="H157" s="43"/>
      <c r="I157" s="33"/>
    </row>
    <row r="158" spans="1:9" ht="18.75" customHeight="1" hidden="1">
      <c r="A158" s="14">
        <v>155</v>
      </c>
      <c r="B158" s="58"/>
      <c r="C158" s="61"/>
      <c r="D158" s="4" t="s">
        <v>160</v>
      </c>
      <c r="E158" s="21">
        <v>1</v>
      </c>
      <c r="F158" s="16"/>
      <c r="G158" s="33"/>
      <c r="H158" s="43"/>
      <c r="I158" s="33"/>
    </row>
    <row r="159" spans="1:9" ht="18.75" customHeight="1" hidden="1">
      <c r="A159" s="14">
        <v>156</v>
      </c>
      <c r="B159" s="58"/>
      <c r="C159" s="61"/>
      <c r="D159" s="2" t="s">
        <v>159</v>
      </c>
      <c r="E159" s="2"/>
      <c r="F159" s="16">
        <f>4.8/6/1.16</f>
        <v>0.689655172413793</v>
      </c>
      <c r="G159" s="33"/>
      <c r="H159" s="43"/>
      <c r="I159" s="33"/>
    </row>
    <row r="160" spans="1:9" ht="18.75" customHeight="1" hidden="1">
      <c r="A160" s="14">
        <v>157</v>
      </c>
      <c r="B160" s="58"/>
      <c r="C160" s="61"/>
      <c r="D160" s="2" t="s">
        <v>159</v>
      </c>
      <c r="E160" s="2"/>
      <c r="F160" s="16">
        <f>4.8/6/1.16</f>
        <v>0.689655172413793</v>
      </c>
      <c r="G160" s="33"/>
      <c r="H160" s="43"/>
      <c r="I160" s="33"/>
    </row>
    <row r="161" spans="1:9" ht="18.75" customHeight="1" hidden="1">
      <c r="A161" s="14">
        <v>158</v>
      </c>
      <c r="B161" s="59"/>
      <c r="C161" s="62"/>
      <c r="D161" s="2" t="s">
        <v>159</v>
      </c>
      <c r="E161" s="2"/>
      <c r="F161" s="16">
        <f>4.8/6/1.16</f>
        <v>0.689655172413793</v>
      </c>
      <c r="G161" s="34"/>
      <c r="H161" s="36"/>
      <c r="I161" s="34"/>
    </row>
    <row r="162" spans="1:9" s="19" customFormat="1" ht="18.75" customHeight="1">
      <c r="A162" s="18">
        <v>159</v>
      </c>
      <c r="B162" s="57" t="s">
        <v>161</v>
      </c>
      <c r="C162" s="60" t="s">
        <v>162</v>
      </c>
      <c r="D162" s="2" t="s">
        <v>163</v>
      </c>
      <c r="E162" s="2"/>
      <c r="F162" s="8">
        <v>0.8</v>
      </c>
      <c r="G162" s="30">
        <f>F162+F163+F164+F165</f>
        <v>4.637931034482759</v>
      </c>
      <c r="H162" s="35">
        <f>'[2]расчет средней нормы'!$AC$71</f>
        <v>3.4412016562770567</v>
      </c>
      <c r="I162" s="30">
        <f>G162-H162</f>
        <v>1.1967293782057022</v>
      </c>
    </row>
    <row r="163" spans="1:9" s="19" customFormat="1" ht="12" customHeight="1">
      <c r="A163" s="18">
        <v>160</v>
      </c>
      <c r="B163" s="58"/>
      <c r="C163" s="61"/>
      <c r="D163" s="2" t="s">
        <v>163</v>
      </c>
      <c r="E163" s="2"/>
      <c r="F163" s="8">
        <v>1.1</v>
      </c>
      <c r="G163" s="41"/>
      <c r="H163" s="43"/>
      <c r="I163" s="41"/>
    </row>
    <row r="164" spans="1:9" s="19" customFormat="1" ht="0.75" customHeight="1" hidden="1">
      <c r="A164" s="18">
        <v>161</v>
      </c>
      <c r="B164" s="58"/>
      <c r="C164" s="61"/>
      <c r="D164" s="2" t="s">
        <v>163</v>
      </c>
      <c r="E164" s="2"/>
      <c r="F164" s="8">
        <v>1.1</v>
      </c>
      <c r="G164" s="41"/>
      <c r="H164" s="43"/>
      <c r="I164" s="41"/>
    </row>
    <row r="165" spans="1:9" s="19" customFormat="1" ht="18.75" customHeight="1" hidden="1">
      <c r="A165" s="18">
        <v>162</v>
      </c>
      <c r="B165" s="59"/>
      <c r="C165" s="62"/>
      <c r="D165" s="2" t="s">
        <v>103</v>
      </c>
      <c r="E165" s="2"/>
      <c r="F165" s="8">
        <f>1.9/1.16</f>
        <v>1.6379310344827587</v>
      </c>
      <c r="G165" s="31"/>
      <c r="H165" s="36"/>
      <c r="I165" s="31"/>
    </row>
    <row r="166" spans="1:9" ht="15.75" customHeight="1" hidden="1">
      <c r="A166" s="14">
        <v>163</v>
      </c>
      <c r="B166" s="57" t="s">
        <v>164</v>
      </c>
      <c r="C166" s="60" t="s">
        <v>165</v>
      </c>
      <c r="D166" s="5" t="s">
        <v>142</v>
      </c>
      <c r="E166" s="2"/>
      <c r="F166" s="15">
        <f>4000/1.16/1000</f>
        <v>3.4482758620689657</v>
      </c>
      <c r="G166" s="32">
        <f>F166+F167</f>
        <v>6.206896551724139</v>
      </c>
      <c r="H166" s="35">
        <f>'[2]расчет средней нормы'!$AC$64</f>
        <v>6.235167943522637</v>
      </c>
      <c r="I166" s="30">
        <f>G166-H166</f>
        <v>-0.028271391798497802</v>
      </c>
    </row>
    <row r="167" spans="1:9" ht="18.75" customHeight="1" hidden="1">
      <c r="A167" s="14">
        <v>164</v>
      </c>
      <c r="B167" s="59"/>
      <c r="C167" s="62"/>
      <c r="D167" s="5" t="s">
        <v>114</v>
      </c>
      <c r="E167" s="2"/>
      <c r="F167" s="15">
        <f>3200/1.16/1000</f>
        <v>2.7586206896551726</v>
      </c>
      <c r="G167" s="34"/>
      <c r="H167" s="36"/>
      <c r="I167" s="31"/>
    </row>
    <row r="168" spans="1:9" ht="18" customHeight="1" hidden="1">
      <c r="A168" s="14">
        <v>165</v>
      </c>
      <c r="B168" s="57" t="s">
        <v>166</v>
      </c>
      <c r="C168" s="60" t="s">
        <v>167</v>
      </c>
      <c r="D168" s="2" t="s">
        <v>142</v>
      </c>
      <c r="E168" s="2"/>
      <c r="F168" s="15">
        <f>4000/1.16/1000</f>
        <v>3.4482758620689657</v>
      </c>
      <c r="G168" s="32">
        <f>F168+F169</f>
        <v>6.206896551724139</v>
      </c>
      <c r="H168" s="35">
        <f>'[2]расчет средней нормы'!$AC$65</f>
        <v>6.371313582403027</v>
      </c>
      <c r="I168" s="30">
        <f>G168-H168</f>
        <v>-0.16441703067888813</v>
      </c>
    </row>
    <row r="169" spans="1:9" ht="18.75" customHeight="1" hidden="1">
      <c r="A169" s="14">
        <v>166</v>
      </c>
      <c r="B169" s="59"/>
      <c r="C169" s="62"/>
      <c r="D169" s="5" t="s">
        <v>114</v>
      </c>
      <c r="E169" s="2"/>
      <c r="F169" s="15">
        <f>3200/1.16/1000</f>
        <v>2.7586206896551726</v>
      </c>
      <c r="G169" s="34"/>
      <c r="H169" s="36"/>
      <c r="I169" s="31"/>
    </row>
    <row r="170" spans="1:9" ht="18" customHeight="1" hidden="1">
      <c r="A170" s="14">
        <v>167</v>
      </c>
      <c r="B170" s="57" t="s">
        <v>168</v>
      </c>
      <c r="C170" s="60" t="s">
        <v>169</v>
      </c>
      <c r="D170" s="2" t="s">
        <v>170</v>
      </c>
      <c r="E170" s="2"/>
      <c r="F170" s="15">
        <v>6.24</v>
      </c>
      <c r="G170" s="54">
        <f>F170+F171+F172</f>
        <v>18.79</v>
      </c>
      <c r="H170" s="35">
        <f>'[2]расчет средней нормы'!$AC$14</f>
        <v>19.900374771178946</v>
      </c>
      <c r="I170" s="54">
        <f>G170-H170</f>
        <v>-1.1103747711789467</v>
      </c>
    </row>
    <row r="171" spans="1:9" ht="18.75" customHeight="1" hidden="1">
      <c r="A171" s="14">
        <v>168</v>
      </c>
      <c r="B171" s="58"/>
      <c r="C171" s="61"/>
      <c r="D171" s="2" t="s">
        <v>170</v>
      </c>
      <c r="E171" s="2"/>
      <c r="F171" s="15">
        <v>6.33</v>
      </c>
      <c r="G171" s="55"/>
      <c r="H171" s="43"/>
      <c r="I171" s="55"/>
    </row>
    <row r="172" spans="1:9" ht="18.75" customHeight="1" hidden="1">
      <c r="A172" s="14">
        <v>169</v>
      </c>
      <c r="B172" s="59"/>
      <c r="C172" s="62"/>
      <c r="D172" s="2" t="s">
        <v>170</v>
      </c>
      <c r="E172" s="2"/>
      <c r="F172" s="15">
        <v>6.22</v>
      </c>
      <c r="G172" s="56"/>
      <c r="H172" s="36"/>
      <c r="I172" s="56"/>
    </row>
    <row r="173" spans="1:9" ht="18.75" customHeight="1" hidden="1">
      <c r="A173" s="14">
        <v>174</v>
      </c>
      <c r="B173" s="47" t="s">
        <v>171</v>
      </c>
      <c r="C173" s="60" t="s">
        <v>172</v>
      </c>
      <c r="D173" s="2" t="s">
        <v>170</v>
      </c>
      <c r="E173" s="2"/>
      <c r="F173" s="8">
        <v>4.54</v>
      </c>
      <c r="G173" s="38">
        <f>F173+F174+F175+F176+F177</f>
        <v>18.75</v>
      </c>
      <c r="H173" s="35">
        <f>'[2]расчет средней нормы'!$AC$16</f>
        <v>20.819563001227216</v>
      </c>
      <c r="I173" s="38">
        <f>G173-H173</f>
        <v>-2.069563001227216</v>
      </c>
    </row>
    <row r="174" spans="1:9" ht="0.75" customHeight="1" hidden="1">
      <c r="A174" s="14">
        <v>175</v>
      </c>
      <c r="B174" s="58"/>
      <c r="C174" s="61"/>
      <c r="D174" s="2" t="s">
        <v>170</v>
      </c>
      <c r="E174" s="2"/>
      <c r="F174" s="8">
        <v>4.57</v>
      </c>
      <c r="G174" s="39"/>
      <c r="H174" s="43"/>
      <c r="I174" s="39"/>
    </row>
    <row r="175" spans="1:9" ht="18.75" customHeight="1" hidden="1">
      <c r="A175" s="14">
        <v>176</v>
      </c>
      <c r="B175" s="58"/>
      <c r="C175" s="61"/>
      <c r="D175" s="2" t="s">
        <v>108</v>
      </c>
      <c r="E175" s="2"/>
      <c r="F175" s="8">
        <v>2.92</v>
      </c>
      <c r="G175" s="39"/>
      <c r="H175" s="43"/>
      <c r="I175" s="39"/>
    </row>
    <row r="176" spans="1:9" ht="18.75" customHeight="1" hidden="1">
      <c r="A176" s="14">
        <v>177</v>
      </c>
      <c r="B176" s="58"/>
      <c r="C176" s="61"/>
      <c r="D176" s="2" t="s">
        <v>108</v>
      </c>
      <c r="E176" s="2"/>
      <c r="F176" s="8">
        <v>3.53</v>
      </c>
      <c r="G176" s="39"/>
      <c r="H176" s="43"/>
      <c r="I176" s="39"/>
    </row>
    <row r="177" spans="1:9" ht="18.75" customHeight="1" hidden="1">
      <c r="A177" s="14">
        <v>178</v>
      </c>
      <c r="B177" s="59"/>
      <c r="C177" s="62"/>
      <c r="D177" s="2" t="s">
        <v>108</v>
      </c>
      <c r="E177" s="2"/>
      <c r="F177" s="8">
        <v>3.19</v>
      </c>
      <c r="G177" s="40"/>
      <c r="H177" s="36"/>
      <c r="I177" s="40"/>
    </row>
    <row r="178" spans="1:9" ht="18.75" customHeight="1">
      <c r="A178" s="14">
        <v>181</v>
      </c>
      <c r="B178" s="47" t="s">
        <v>173</v>
      </c>
      <c r="C178" s="50" t="s">
        <v>174</v>
      </c>
      <c r="D178" s="2" t="s">
        <v>175</v>
      </c>
      <c r="E178" s="2"/>
      <c r="F178" s="15">
        <f>0.5/1.16</f>
        <v>0.4310344827586207</v>
      </c>
      <c r="G178" s="38">
        <f>F178+F179+F180</f>
        <v>1.293103448275862</v>
      </c>
      <c r="H178" s="35">
        <f>'[2]расчет средней нормы'!$AC$8</f>
        <v>0.9299905266955268</v>
      </c>
      <c r="I178" s="38">
        <f>G178-H178</f>
        <v>0.36311292158033526</v>
      </c>
    </row>
    <row r="179" spans="1:9" ht="1.5" customHeight="1">
      <c r="A179" s="14">
        <v>182</v>
      </c>
      <c r="B179" s="48"/>
      <c r="C179" s="51"/>
      <c r="D179" s="2" t="s">
        <v>175</v>
      </c>
      <c r="E179" s="2"/>
      <c r="F179" s="15">
        <f>0.5/1.16</f>
        <v>0.4310344827586207</v>
      </c>
      <c r="G179" s="39"/>
      <c r="H179" s="43"/>
      <c r="I179" s="39"/>
    </row>
    <row r="180" spans="1:9" ht="18.75" customHeight="1" hidden="1">
      <c r="A180" s="14">
        <v>183</v>
      </c>
      <c r="B180" s="49"/>
      <c r="C180" s="52"/>
      <c r="D180" s="2" t="s">
        <v>175</v>
      </c>
      <c r="E180" s="3"/>
      <c r="F180" s="22">
        <f>0.5/1.16</f>
        <v>0.4310344827586207</v>
      </c>
      <c r="G180" s="40"/>
      <c r="H180" s="36"/>
      <c r="I180" s="40"/>
    </row>
    <row r="181" spans="1:9" ht="14.25" customHeight="1">
      <c r="A181" s="14">
        <v>184</v>
      </c>
      <c r="B181" s="47" t="s">
        <v>185</v>
      </c>
      <c r="C181" s="50" t="s">
        <v>186</v>
      </c>
      <c r="D181" s="4" t="s">
        <v>156</v>
      </c>
      <c r="E181" s="3"/>
      <c r="F181" s="22">
        <v>1.379</v>
      </c>
      <c r="G181" s="38">
        <f>F181+F182</f>
        <v>2.758</v>
      </c>
      <c r="H181" s="35">
        <f>'[2]расчет средней нормы'!$AC$11</f>
        <v>1.6091264069264068</v>
      </c>
      <c r="I181" s="30">
        <f>G181-H181</f>
        <v>1.1488735930735932</v>
      </c>
    </row>
    <row r="182" spans="1:9" ht="18.75" customHeight="1" hidden="1">
      <c r="A182" s="14">
        <v>185</v>
      </c>
      <c r="B182" s="49"/>
      <c r="C182" s="52"/>
      <c r="D182" s="4" t="s">
        <v>156</v>
      </c>
      <c r="E182" s="3"/>
      <c r="F182" s="22">
        <v>1.379</v>
      </c>
      <c r="G182" s="40"/>
      <c r="H182" s="36"/>
      <c r="I182" s="31"/>
    </row>
    <row r="183" spans="1:9" ht="18.75" customHeight="1">
      <c r="A183" s="13">
        <v>186</v>
      </c>
      <c r="B183" s="45" t="s">
        <v>187</v>
      </c>
      <c r="C183" s="46" t="s">
        <v>188</v>
      </c>
      <c r="D183" s="4" t="s">
        <v>189</v>
      </c>
      <c r="E183" s="2"/>
      <c r="F183" s="15">
        <v>0.216</v>
      </c>
      <c r="G183" s="53">
        <f>F183+F184</f>
        <v>0.432</v>
      </c>
      <c r="H183" s="35">
        <f>0.063*1.1</f>
        <v>0.0693</v>
      </c>
      <c r="I183" s="30">
        <f>G183-H183</f>
        <v>0.3627</v>
      </c>
    </row>
    <row r="184" spans="1:9" ht="0.75" customHeight="1">
      <c r="A184" s="13">
        <v>187</v>
      </c>
      <c r="B184" s="45"/>
      <c r="C184" s="46"/>
      <c r="D184" s="4" t="s">
        <v>189</v>
      </c>
      <c r="E184" s="2"/>
      <c r="F184" s="15">
        <v>0.216</v>
      </c>
      <c r="G184" s="53"/>
      <c r="H184" s="36"/>
      <c r="I184" s="31"/>
    </row>
    <row r="185" spans="1:9" ht="18.75" customHeight="1" thickBot="1">
      <c r="A185" s="13"/>
      <c r="B185" s="4"/>
      <c r="C185" s="6"/>
      <c r="D185" s="2"/>
      <c r="E185" s="27">
        <f>SUM(E4:E184)</f>
        <v>51.199999999999996</v>
      </c>
      <c r="F185" s="27">
        <f>SUM(F4:F184)</f>
        <v>188.52861455172416</v>
      </c>
      <c r="G185" s="27">
        <f>SUM(G4:G184)</f>
        <v>221.2966145517241</v>
      </c>
      <c r="H185" s="28">
        <f>SUM(H4:H184)</f>
        <v>178.62133184239343</v>
      </c>
      <c r="I185" s="28">
        <f>I4+I6+I8+I29+I31+I35+I41+I48+I50+I52+I54+I56+I58+I62+I64+I66+I70+I72+I74+I76+I78+I80+I90+I98+I100+I103+I112+I114+I116+I118+I121+I124+I128+I134+I145+I149+I153+I155+I162+I178+I181+I183</f>
        <v>49.11387754710321</v>
      </c>
    </row>
    <row r="186" spans="1:8" ht="12.75">
      <c r="A186" s="9"/>
      <c r="B186" s="9"/>
      <c r="C186" s="9"/>
      <c r="D186" s="10"/>
      <c r="E186" s="23"/>
      <c r="F186" s="23"/>
      <c r="G186" s="23"/>
      <c r="H186" s="23"/>
    </row>
    <row r="187" spans="1:8" ht="12.75">
      <c r="A187" s="42"/>
      <c r="B187" s="42"/>
      <c r="C187" s="42"/>
      <c r="D187" s="42"/>
      <c r="E187" s="42"/>
      <c r="F187" s="42"/>
      <c r="G187" s="42"/>
      <c r="H187" s="42"/>
    </row>
    <row r="188" ht="12.75">
      <c r="A188" s="11"/>
    </row>
  </sheetData>
  <sheetProtection/>
  <mergeCells count="315">
    <mergeCell ref="I10:I17"/>
    <mergeCell ref="I18:I19"/>
    <mergeCell ref="C4:C5"/>
    <mergeCell ref="B6:B7"/>
    <mergeCell ref="C6:C7"/>
    <mergeCell ref="I2:I3"/>
    <mergeCell ref="I6:I7"/>
    <mergeCell ref="G4:G5"/>
    <mergeCell ref="H4:H5"/>
    <mergeCell ref="A2:A3"/>
    <mergeCell ref="B2:B3"/>
    <mergeCell ref="C2:C3"/>
    <mergeCell ref="D2:D3"/>
    <mergeCell ref="E2:F2"/>
    <mergeCell ref="G2:G3"/>
    <mergeCell ref="H2:H3"/>
    <mergeCell ref="B4:B5"/>
    <mergeCell ref="B10:B17"/>
    <mergeCell ref="C10:C17"/>
    <mergeCell ref="B18:B19"/>
    <mergeCell ref="C18:C19"/>
    <mergeCell ref="B8:B9"/>
    <mergeCell ref="C8:C9"/>
    <mergeCell ref="C29:C30"/>
    <mergeCell ref="I31:I34"/>
    <mergeCell ref="B20:B23"/>
    <mergeCell ref="C20:C23"/>
    <mergeCell ref="B24:B28"/>
    <mergeCell ref="C24:C28"/>
    <mergeCell ref="G24:G28"/>
    <mergeCell ref="H24:H28"/>
    <mergeCell ref="I35:I36"/>
    <mergeCell ref="B37:B38"/>
    <mergeCell ref="C37:C38"/>
    <mergeCell ref="I24:I28"/>
    <mergeCell ref="B31:B34"/>
    <mergeCell ref="C31:C34"/>
    <mergeCell ref="B35:B36"/>
    <mergeCell ref="C35:C36"/>
    <mergeCell ref="I29:I30"/>
    <mergeCell ref="B29:B30"/>
    <mergeCell ref="I37:I38"/>
    <mergeCell ref="B41:B42"/>
    <mergeCell ref="C41:C42"/>
    <mergeCell ref="B43:B44"/>
    <mergeCell ref="C43:C44"/>
    <mergeCell ref="I39:I40"/>
    <mergeCell ref="B39:B40"/>
    <mergeCell ref="C39:C40"/>
    <mergeCell ref="G37:G38"/>
    <mergeCell ref="H37:H38"/>
    <mergeCell ref="B48:B49"/>
    <mergeCell ref="C48:C49"/>
    <mergeCell ref="I43:I44"/>
    <mergeCell ref="B46:B47"/>
    <mergeCell ref="C46:C47"/>
    <mergeCell ref="I48:I49"/>
    <mergeCell ref="I41:I42"/>
    <mergeCell ref="G43:G44"/>
    <mergeCell ref="H43:H44"/>
    <mergeCell ref="G46:G47"/>
    <mergeCell ref="H46:H47"/>
    <mergeCell ref="I46:I47"/>
    <mergeCell ref="I52:I53"/>
    <mergeCell ref="B54:B55"/>
    <mergeCell ref="C54:C55"/>
    <mergeCell ref="I50:I51"/>
    <mergeCell ref="B50:B51"/>
    <mergeCell ref="C50:C51"/>
    <mergeCell ref="B52:B53"/>
    <mergeCell ref="C52:C53"/>
    <mergeCell ref="I54:I55"/>
    <mergeCell ref="G52:G53"/>
    <mergeCell ref="B58:B61"/>
    <mergeCell ref="C58:C61"/>
    <mergeCell ref="B62:B63"/>
    <mergeCell ref="C62:C63"/>
    <mergeCell ref="I56:I57"/>
    <mergeCell ref="B56:B57"/>
    <mergeCell ref="C56:C57"/>
    <mergeCell ref="G54:G55"/>
    <mergeCell ref="H54:H55"/>
    <mergeCell ref="G56:G57"/>
    <mergeCell ref="H56:H57"/>
    <mergeCell ref="B66:B67"/>
    <mergeCell ref="C66:C67"/>
    <mergeCell ref="I62:I63"/>
    <mergeCell ref="B64:B65"/>
    <mergeCell ref="C64:C65"/>
    <mergeCell ref="I66:I67"/>
    <mergeCell ref="G66:G67"/>
    <mergeCell ref="H66:H67"/>
    <mergeCell ref="I58:I61"/>
    <mergeCell ref="G62:G63"/>
    <mergeCell ref="H62:H63"/>
    <mergeCell ref="G64:G65"/>
    <mergeCell ref="H64:H65"/>
    <mergeCell ref="I64:I65"/>
    <mergeCell ref="G58:G61"/>
    <mergeCell ref="H58:H61"/>
    <mergeCell ref="I70:I71"/>
    <mergeCell ref="B72:B73"/>
    <mergeCell ref="C72:C73"/>
    <mergeCell ref="I68:I69"/>
    <mergeCell ref="B68:B69"/>
    <mergeCell ref="C68:C69"/>
    <mergeCell ref="B70:B71"/>
    <mergeCell ref="C70:C71"/>
    <mergeCell ref="G70:G71"/>
    <mergeCell ref="H70:H71"/>
    <mergeCell ref="I72:I73"/>
    <mergeCell ref="B76:B77"/>
    <mergeCell ref="C76:C77"/>
    <mergeCell ref="G72:G73"/>
    <mergeCell ref="H72:H73"/>
    <mergeCell ref="H98:H99"/>
    <mergeCell ref="B78:B79"/>
    <mergeCell ref="C78:C79"/>
    <mergeCell ref="I74:I75"/>
    <mergeCell ref="B74:B75"/>
    <mergeCell ref="C74:C75"/>
    <mergeCell ref="I76:I77"/>
    <mergeCell ref="I78:I79"/>
    <mergeCell ref="B80:B83"/>
    <mergeCell ref="C80:C83"/>
    <mergeCell ref="I80:I83"/>
    <mergeCell ref="G80:G83"/>
    <mergeCell ref="H80:H83"/>
    <mergeCell ref="B124:B127"/>
    <mergeCell ref="C124:C127"/>
    <mergeCell ref="I124:I127"/>
    <mergeCell ref="G124:G127"/>
    <mergeCell ref="H124:H127"/>
    <mergeCell ref="I110:I111"/>
    <mergeCell ref="B112:B113"/>
    <mergeCell ref="C112:C113"/>
    <mergeCell ref="I112:I113"/>
    <mergeCell ref="I170:I172"/>
    <mergeCell ref="B166:B167"/>
    <mergeCell ref="C166:C167"/>
    <mergeCell ref="C145:C148"/>
    <mergeCell ref="B145:B148"/>
    <mergeCell ref="G149:G152"/>
    <mergeCell ref="H153:H154"/>
    <mergeCell ref="B155:B161"/>
    <mergeCell ref="C155:C161"/>
    <mergeCell ref="G155:G161"/>
    <mergeCell ref="B141:B144"/>
    <mergeCell ref="C141:C144"/>
    <mergeCell ref="I141:I144"/>
    <mergeCell ref="G145:G148"/>
    <mergeCell ref="H145:H148"/>
    <mergeCell ref="G141:G144"/>
    <mergeCell ref="H141:H144"/>
    <mergeCell ref="G10:G17"/>
    <mergeCell ref="H10:H17"/>
    <mergeCell ref="G6:G7"/>
    <mergeCell ref="H6:H7"/>
    <mergeCell ref="G8:G9"/>
    <mergeCell ref="H8:H9"/>
    <mergeCell ref="G18:G19"/>
    <mergeCell ref="H18:H19"/>
    <mergeCell ref="G20:G23"/>
    <mergeCell ref="H20:H23"/>
    <mergeCell ref="G35:G36"/>
    <mergeCell ref="H35:H36"/>
    <mergeCell ref="G29:G30"/>
    <mergeCell ref="H29:H30"/>
    <mergeCell ref="G31:G34"/>
    <mergeCell ref="H31:H34"/>
    <mergeCell ref="G39:G40"/>
    <mergeCell ref="H39:H40"/>
    <mergeCell ref="G41:G42"/>
    <mergeCell ref="H41:H42"/>
    <mergeCell ref="H52:H53"/>
    <mergeCell ref="G48:G49"/>
    <mergeCell ref="H48:H49"/>
    <mergeCell ref="G50:G51"/>
    <mergeCell ref="H50:H51"/>
    <mergeCell ref="G68:G69"/>
    <mergeCell ref="H68:H69"/>
    <mergeCell ref="G78:G79"/>
    <mergeCell ref="H78:H79"/>
    <mergeCell ref="G74:G75"/>
    <mergeCell ref="H74:H75"/>
    <mergeCell ref="G76:G77"/>
    <mergeCell ref="H76:H77"/>
    <mergeCell ref="G90:G97"/>
    <mergeCell ref="H90:H97"/>
    <mergeCell ref="B84:B89"/>
    <mergeCell ref="C84:C89"/>
    <mergeCell ref="G84:G89"/>
    <mergeCell ref="H84:H89"/>
    <mergeCell ref="B90:B97"/>
    <mergeCell ref="C90:C97"/>
    <mergeCell ref="B100:B102"/>
    <mergeCell ref="C100:C102"/>
    <mergeCell ref="G100:G102"/>
    <mergeCell ref="B98:B99"/>
    <mergeCell ref="C98:C99"/>
    <mergeCell ref="G98:G99"/>
    <mergeCell ref="H108:H109"/>
    <mergeCell ref="I103:I107"/>
    <mergeCell ref="H100:H102"/>
    <mergeCell ref="I108:I109"/>
    <mergeCell ref="B103:B107"/>
    <mergeCell ref="C103:C107"/>
    <mergeCell ref="G103:G107"/>
    <mergeCell ref="H103:H107"/>
    <mergeCell ref="H110:H111"/>
    <mergeCell ref="H114:H115"/>
    <mergeCell ref="G112:G113"/>
    <mergeCell ref="H112:H113"/>
    <mergeCell ref="B114:B115"/>
    <mergeCell ref="C114:C115"/>
    <mergeCell ref="G114:G115"/>
    <mergeCell ref="B108:B109"/>
    <mergeCell ref="G110:G111"/>
    <mergeCell ref="G108:G109"/>
    <mergeCell ref="B110:B111"/>
    <mergeCell ref="C110:C111"/>
    <mergeCell ref="C108:C109"/>
    <mergeCell ref="H116:H117"/>
    <mergeCell ref="B118:B120"/>
    <mergeCell ref="C118:C120"/>
    <mergeCell ref="G118:G120"/>
    <mergeCell ref="H118:H120"/>
    <mergeCell ref="B116:B117"/>
    <mergeCell ref="C116:C117"/>
    <mergeCell ref="G116:G117"/>
    <mergeCell ref="B121:B123"/>
    <mergeCell ref="C121:C123"/>
    <mergeCell ref="G121:G123"/>
    <mergeCell ref="H121:H123"/>
    <mergeCell ref="B136:B138"/>
    <mergeCell ref="C136:C138"/>
    <mergeCell ref="G136:G138"/>
    <mergeCell ref="H136:H138"/>
    <mergeCell ref="H128:H133"/>
    <mergeCell ref="B134:B135"/>
    <mergeCell ref="C134:C135"/>
    <mergeCell ref="G134:G135"/>
    <mergeCell ref="H134:H135"/>
    <mergeCell ref="B128:B133"/>
    <mergeCell ref="C128:C133"/>
    <mergeCell ref="G128:G133"/>
    <mergeCell ref="B139:B140"/>
    <mergeCell ref="C139:C140"/>
    <mergeCell ref="G139:G140"/>
    <mergeCell ref="H139:H140"/>
    <mergeCell ref="H155:H161"/>
    <mergeCell ref="H149:H152"/>
    <mergeCell ref="B153:B154"/>
    <mergeCell ref="C153:C154"/>
    <mergeCell ref="G153:G154"/>
    <mergeCell ref="B149:B152"/>
    <mergeCell ref="C149:C152"/>
    <mergeCell ref="B173:B177"/>
    <mergeCell ref="C173:C177"/>
    <mergeCell ref="G173:G177"/>
    <mergeCell ref="B162:B165"/>
    <mergeCell ref="C162:C165"/>
    <mergeCell ref="G162:G165"/>
    <mergeCell ref="G166:G167"/>
    <mergeCell ref="B168:B169"/>
    <mergeCell ref="C168:C169"/>
    <mergeCell ref="G168:G169"/>
    <mergeCell ref="G170:G172"/>
    <mergeCell ref="H170:H172"/>
    <mergeCell ref="B170:B172"/>
    <mergeCell ref="C170:C172"/>
    <mergeCell ref="G183:G184"/>
    <mergeCell ref="B181:B182"/>
    <mergeCell ref="C181:C182"/>
    <mergeCell ref="G181:G182"/>
    <mergeCell ref="B178:B180"/>
    <mergeCell ref="C178:C180"/>
    <mergeCell ref="G178:G180"/>
    <mergeCell ref="H178:H180"/>
    <mergeCell ref="A187:H187"/>
    <mergeCell ref="I4:I5"/>
    <mergeCell ref="I8:I9"/>
    <mergeCell ref="I20:I23"/>
    <mergeCell ref="I84:I89"/>
    <mergeCell ref="I90:I97"/>
    <mergeCell ref="I98:I99"/>
    <mergeCell ref="I100:I102"/>
    <mergeCell ref="B183:B184"/>
    <mergeCell ref="C183:C184"/>
    <mergeCell ref="I121:I123"/>
    <mergeCell ref="I139:I140"/>
    <mergeCell ref="I145:I148"/>
    <mergeCell ref="I149:I152"/>
    <mergeCell ref="I134:I135"/>
    <mergeCell ref="I136:I138"/>
    <mergeCell ref="A1:I1"/>
    <mergeCell ref="I173:I177"/>
    <mergeCell ref="I178:I180"/>
    <mergeCell ref="I181:I182"/>
    <mergeCell ref="I155:I161"/>
    <mergeCell ref="I162:I165"/>
    <mergeCell ref="I166:I167"/>
    <mergeCell ref="I114:I115"/>
    <mergeCell ref="I116:I117"/>
    <mergeCell ref="I118:I120"/>
    <mergeCell ref="I168:I169"/>
    <mergeCell ref="I128:I133"/>
    <mergeCell ref="I183:I184"/>
    <mergeCell ref="H183:H184"/>
    <mergeCell ref="I153:I154"/>
    <mergeCell ref="H181:H182"/>
    <mergeCell ref="H173:H177"/>
    <mergeCell ref="H162:H165"/>
    <mergeCell ref="H166:H167"/>
    <mergeCell ref="H168:H1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"ОК и ТС"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XTreme</cp:lastModifiedBy>
  <cp:lastPrinted>2011-02-21T10:13:37Z</cp:lastPrinted>
  <dcterms:created xsi:type="dcterms:W3CDTF">2010-04-07T06:18:06Z</dcterms:created>
  <dcterms:modified xsi:type="dcterms:W3CDTF">2011-02-28T20:26:15Z</dcterms:modified>
  <cp:category/>
  <cp:version/>
  <cp:contentType/>
  <cp:contentStatus/>
</cp:coreProperties>
</file>